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/>
  <bookViews>
    <workbookView xWindow="-768" yWindow="1140" windowWidth="9696" windowHeight="3696" tabRatio="875"/>
  </bookViews>
  <sheets>
    <sheet name="1" sheetId="113" r:id="rId1"/>
    <sheet name="2" sheetId="48" r:id="rId2"/>
    <sheet name="3" sheetId="50" r:id="rId3"/>
    <sheet name="4" sheetId="107" r:id="rId4"/>
    <sheet name="5" sheetId="101" r:id="rId5"/>
    <sheet name="6" sheetId="2" r:id="rId6"/>
    <sheet name="7" sheetId="91" r:id="rId7"/>
    <sheet name="8" sheetId="92" r:id="rId8"/>
    <sheet name="9" sheetId="106" r:id="rId9"/>
    <sheet name="10" sheetId="61" r:id="rId10"/>
    <sheet name="11" sheetId="24" r:id="rId11"/>
    <sheet name="12" sheetId="11" r:id="rId12"/>
    <sheet name="13" sheetId="12" r:id="rId13"/>
    <sheet name="14" sheetId="13" r:id="rId14"/>
    <sheet name="15" sheetId="14" r:id="rId15"/>
    <sheet name="16" sheetId="15" r:id="rId16"/>
    <sheet name="17" sheetId="16" r:id="rId17"/>
    <sheet name="18" sheetId="17" r:id="rId18"/>
    <sheet name="19" sheetId="18" r:id="rId19"/>
    <sheet name="20" sheetId="19" r:id="rId20"/>
    <sheet name="21" sheetId="21" r:id="rId21"/>
    <sheet name="22" sheetId="22" r:id="rId22"/>
    <sheet name="23" sheetId="60" r:id="rId23"/>
    <sheet name="24" sheetId="20" r:id="rId24"/>
    <sheet name="25" sheetId="79" r:id="rId25"/>
    <sheet name="26" sheetId="111" r:id="rId26"/>
    <sheet name="27" sheetId="105" r:id="rId27"/>
    <sheet name="28" sheetId="109" r:id="rId28"/>
    <sheet name="29" sheetId="110" r:id="rId29"/>
    <sheet name="30" sheetId="54" r:id="rId30"/>
    <sheet name="31" sheetId="87" r:id="rId31"/>
    <sheet name="32" sheetId="88" r:id="rId32"/>
    <sheet name="33" sheetId="98" r:id="rId33"/>
    <sheet name="канаты" sheetId="99" state="veryHidden" r:id="rId34"/>
  </sheets>
  <definedNames>
    <definedName name="_xlnm._FilterDatabase" localSheetId="11" hidden="1">'12'!$H$5:$H$5</definedName>
    <definedName name="_xlnm._FilterDatabase" localSheetId="12" hidden="1">'13'!$H$45:$H$45</definedName>
    <definedName name="_xlnm._FilterDatabase" localSheetId="1" hidden="1">'2'!$A$3:$C$59</definedName>
    <definedName name="_xlnm._FilterDatabase" localSheetId="20" hidden="1">'21'!$H$5:$H$5</definedName>
    <definedName name="_xlnm._FilterDatabase" localSheetId="27" hidden="1">'28'!$A$4:$C$58</definedName>
    <definedName name="_xlnm._FilterDatabase" localSheetId="2" hidden="1">'3'!#REF!</definedName>
    <definedName name="_xlnm._FilterDatabase" localSheetId="5" hidden="1">'6'!$C$5:$F$40</definedName>
    <definedName name="_xlnm._FilterDatabase" localSheetId="33" hidden="1">канаты!$A$2:$G$630</definedName>
    <definedName name="izmeneno" localSheetId="0">#REF!</definedName>
    <definedName name="izmeneno">#REF!</definedName>
    <definedName name="period" localSheetId="0">#REF!</definedName>
    <definedName name="period">#REF!</definedName>
    <definedName name="seme" localSheetId="0">#REF!</definedName>
    <definedName name="seme">#REF!</definedName>
    <definedName name="semeystva" localSheetId="0">#REF!</definedName>
    <definedName name="semeystva">#REF!</definedName>
    <definedName name="standart" localSheetId="0">#REF!</definedName>
    <definedName name="standart">#REF!</definedName>
    <definedName name="standart2" localSheetId="0">#REF!</definedName>
    <definedName name="standart2">#REF!</definedName>
    <definedName name="Z_25CCFC00_B2A0_11D5_BB28_0001029D9AF1_.wvu.Cols" localSheetId="13" hidden="1">'14'!#REF!</definedName>
    <definedName name="Z_25CCFC00_B2A0_11D5_BB28_0001029D9AF1_.wvu.Cols" localSheetId="1" hidden="1">'2'!#REF!</definedName>
    <definedName name="Z_25CCFC00_B2A0_11D5_BB28_0001029D9AF1_.wvu.Cols" localSheetId="2" hidden="1">'3'!#REF!</definedName>
    <definedName name="Z_25CCFC00_B2A0_11D5_BB28_0001029D9AF1_.wvu.PrintArea" localSheetId="10" hidden="1">'11'!#REF!</definedName>
    <definedName name="Z_25CCFC00_B2A0_11D5_BB28_0001029D9AF1_.wvu.PrintArea" localSheetId="11" hidden="1">'12'!#REF!</definedName>
    <definedName name="Z_25CCFC00_B2A0_11D5_BB28_0001029D9AF1_.wvu.PrintArea" localSheetId="12" hidden="1">'13'!#REF!</definedName>
    <definedName name="Z_25CCFC00_B2A0_11D5_BB28_0001029D9AF1_.wvu.PrintArea" localSheetId="13" hidden="1">'14'!#REF!</definedName>
    <definedName name="Z_25CCFC00_B2A0_11D5_BB28_0001029D9AF1_.wvu.PrintArea" localSheetId="14" hidden="1">'15'!#REF!</definedName>
    <definedName name="Z_25CCFC00_B2A0_11D5_BB28_0001029D9AF1_.wvu.PrintArea" localSheetId="15" hidden="1">'16'!#REF!</definedName>
    <definedName name="Z_25CCFC00_B2A0_11D5_BB28_0001029D9AF1_.wvu.PrintArea" localSheetId="16" hidden="1">'17'!#REF!</definedName>
    <definedName name="Z_25CCFC00_B2A0_11D5_BB28_0001029D9AF1_.wvu.PrintArea" localSheetId="17" hidden="1">'18'!#REF!</definedName>
    <definedName name="Z_25CCFC00_B2A0_11D5_BB28_0001029D9AF1_.wvu.PrintArea" localSheetId="18" hidden="1">'19'!#REF!</definedName>
    <definedName name="Z_25CCFC00_B2A0_11D5_BB28_0001029D9AF1_.wvu.PrintArea" localSheetId="1" hidden="1">'2'!$A$1:$C$29</definedName>
    <definedName name="Z_25CCFC00_B2A0_11D5_BB28_0001029D9AF1_.wvu.PrintArea" localSheetId="19" hidden="1">'20'!#REF!</definedName>
    <definedName name="Z_25CCFC00_B2A0_11D5_BB28_0001029D9AF1_.wvu.PrintArea" localSheetId="20" hidden="1">'21'!#REF!</definedName>
    <definedName name="Z_25CCFC00_B2A0_11D5_BB28_0001029D9AF1_.wvu.PrintArea" localSheetId="21" hidden="1">'22'!#REF!</definedName>
    <definedName name="Z_25CCFC00_B2A0_11D5_BB28_0001029D9AF1_.wvu.PrintArea" localSheetId="22" hidden="1">'23'!#REF!</definedName>
    <definedName name="Z_25CCFC00_B2A0_11D5_BB28_0001029D9AF1_.wvu.PrintArea" localSheetId="23" hidden="1">'20'!#REF!</definedName>
    <definedName name="Z_25CCFC00_B2A0_11D5_BB28_0001029D9AF1_.wvu.PrintArea" localSheetId="2" hidden="1">'3'!$A$1:$C$26</definedName>
    <definedName name="Z_25CCFC00_B2A0_11D5_BB28_0001029D9AF1_.wvu.PrintArea" localSheetId="3" hidden="1">'4'!#REF!</definedName>
    <definedName name="_xlnm.Print_Titles" localSheetId="30">'31'!$2:$3</definedName>
    <definedName name="_xlnm.Print_Titles" localSheetId="33">канаты!$2:$2</definedName>
    <definedName name="_xlnm.Print_Area" localSheetId="0">'1'!$A$1:$J$44</definedName>
    <definedName name="_xlnm.Print_Area" localSheetId="9">'10'!$A$1:$G$48</definedName>
    <definedName name="_xlnm.Print_Area" localSheetId="10">'11'!$B$1:$G$62</definedName>
    <definedName name="_xlnm.Print_Area" localSheetId="11">'12'!$B$1:$G$38</definedName>
    <definedName name="_xlnm.Print_Area" localSheetId="12">'13'!$B$1:$K$75</definedName>
    <definedName name="_xlnm.Print_Area" localSheetId="13">'14'!$B$1:$K$76</definedName>
    <definedName name="_xlnm.Print_Area" localSheetId="14">'15'!$B$1:$K$74</definedName>
    <definedName name="_xlnm.Print_Area" localSheetId="15">'16'!$B$1:$G$35</definedName>
    <definedName name="_xlnm.Print_Area" localSheetId="16">'17'!$B$1:$G$30</definedName>
    <definedName name="_xlnm.Print_Area" localSheetId="17">'18'!$B$1:$G$58</definedName>
    <definedName name="_xlnm.Print_Area" localSheetId="18">'19'!$B$1:$G$67</definedName>
    <definedName name="_xlnm.Print_Area" localSheetId="1">'2'!$A$1:$C$59</definedName>
    <definedName name="_xlnm.Print_Area" localSheetId="19">'20'!$B$1:$G$49</definedName>
    <definedName name="_xlnm.Print_Area" localSheetId="20">'21'!$B$1:$G$39</definedName>
    <definedName name="_xlnm.Print_Area" localSheetId="21">'22'!$B$1:$G$77</definedName>
    <definedName name="_xlnm.Print_Area" localSheetId="22">'23'!$B$1:$G$33</definedName>
    <definedName name="_xlnm.Print_Area" localSheetId="23">'24'!$B$1:$G$65</definedName>
    <definedName name="_xlnm.Print_Area" localSheetId="24">'25'!$B$1:$G$26</definedName>
    <definedName name="_xlnm.Print_Area" localSheetId="25">'26'!$B$1:$G$33</definedName>
    <definedName name="_xlnm.Print_Area" localSheetId="26">'27'!$B$1:$G$60</definedName>
    <definedName name="_xlnm.Print_Area" localSheetId="27">'28'!$B$1:$F$58</definedName>
    <definedName name="_xlnm.Print_Area" localSheetId="28">'29'!$B$1:$F$88</definedName>
    <definedName name="_xlnm.Print_Area" localSheetId="2">'3'!$A$1:$C$30</definedName>
    <definedName name="_xlnm.Print_Area" localSheetId="29">'30'!$B$1:$I$45</definedName>
    <definedName name="_xlnm.Print_Area" localSheetId="30">'31'!$B$1:$G$90</definedName>
    <definedName name="_xlnm.Print_Area" localSheetId="31">'32'!$B$1:$F$91</definedName>
    <definedName name="_xlnm.Print_Area" localSheetId="32">'33'!$B$1:$D$58</definedName>
    <definedName name="_xlnm.Print_Area" localSheetId="3">'4'!$B$1:$I$56</definedName>
    <definedName name="_xlnm.Print_Area" localSheetId="4">'5'!$B$1:$H$44</definedName>
    <definedName name="_xlnm.Print_Area" localSheetId="5">'6'!$B$1:$E$55</definedName>
    <definedName name="_xlnm.Print_Area" localSheetId="6">'7'!$B$1:$H$61</definedName>
    <definedName name="_xlnm.Print_Area" localSheetId="7">'8'!$B$1:$D$34</definedName>
    <definedName name="_xlnm.Print_Area" localSheetId="8">'9'!$B$1:$F$37</definedName>
    <definedName name="_xlnm.Print_Area" localSheetId="33">канаты!$A$1:$G$641</definedName>
  </definedNames>
  <calcPr calcId="145621"/>
</workbook>
</file>

<file path=xl/calcChain.xml><?xml version="1.0" encoding="utf-8"?>
<calcChain xmlns="http://schemas.openxmlformats.org/spreadsheetml/2006/main">
  <c r="E42" i="18" l="1"/>
  <c r="D42" i="18"/>
  <c r="E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F22" i="18"/>
  <c r="F6" i="18"/>
  <c r="F54" i="109" l="1"/>
  <c r="F50" i="109"/>
  <c r="D50" i="109"/>
  <c r="C50" i="109"/>
  <c r="F49" i="109"/>
  <c r="D49" i="109"/>
  <c r="C49" i="109"/>
  <c r="F48" i="109"/>
  <c r="F44" i="109"/>
  <c r="D44" i="109"/>
  <c r="F43" i="109"/>
  <c r="F42" i="109"/>
  <c r="F38" i="109"/>
  <c r="E38" i="109"/>
  <c r="D38" i="109"/>
  <c r="C38" i="109"/>
  <c r="F37" i="109"/>
  <c r="E37" i="109"/>
  <c r="D37" i="109"/>
  <c r="C37" i="109"/>
  <c r="F33" i="109"/>
  <c r="E33" i="109"/>
  <c r="D33" i="109"/>
  <c r="C33" i="109"/>
  <c r="F32" i="109"/>
  <c r="E32" i="109"/>
  <c r="D32" i="109"/>
  <c r="C32" i="109"/>
  <c r="F31" i="109"/>
  <c r="E31" i="109"/>
  <c r="D31" i="109"/>
  <c r="C31" i="109"/>
  <c r="F30" i="109"/>
  <c r="E30" i="109"/>
  <c r="D30" i="109"/>
  <c r="C30" i="109"/>
  <c r="E26" i="109"/>
  <c r="D26" i="109"/>
  <c r="C26" i="109"/>
  <c r="F22" i="109"/>
  <c r="E22" i="109"/>
  <c r="D22" i="109"/>
  <c r="C22" i="109"/>
  <c r="F21" i="109"/>
  <c r="E21" i="109"/>
  <c r="D21" i="109"/>
  <c r="C21" i="109"/>
  <c r="F20" i="109"/>
  <c r="E20" i="109"/>
  <c r="D20" i="109"/>
  <c r="C20" i="109"/>
  <c r="F9" i="109" l="1"/>
  <c r="E9" i="109"/>
  <c r="D9" i="109"/>
  <c r="C9" i="109"/>
  <c r="F8" i="109"/>
  <c r="E8" i="109"/>
  <c r="D8" i="109"/>
  <c r="C8" i="109"/>
  <c r="F7" i="109"/>
  <c r="E7" i="109"/>
  <c r="D7" i="109"/>
  <c r="C7" i="109"/>
  <c r="F6" i="109"/>
  <c r="E6" i="109"/>
  <c r="D6" i="109"/>
  <c r="C6" i="109"/>
  <c r="F5" i="109"/>
  <c r="E5" i="109"/>
  <c r="D5" i="109"/>
  <c r="C5" i="109"/>
  <c r="F14" i="109"/>
  <c r="E14" i="109"/>
  <c r="F13" i="109"/>
  <c r="E13" i="109"/>
  <c r="D13" i="109"/>
  <c r="C13" i="109"/>
  <c r="F12" i="109"/>
  <c r="E12" i="109"/>
  <c r="D12" i="109"/>
  <c r="C12" i="109"/>
  <c r="F11" i="109"/>
  <c r="E11" i="109"/>
  <c r="D11" i="109"/>
  <c r="C11" i="109"/>
  <c r="F10" i="109"/>
  <c r="E10" i="109"/>
  <c r="D10" i="109"/>
  <c r="C10" i="109"/>
  <c r="H20" i="107"/>
  <c r="H19" i="107"/>
  <c r="H18" i="107"/>
  <c r="H17" i="107"/>
  <c r="H16" i="107"/>
  <c r="H15" i="107"/>
  <c r="H14" i="107"/>
  <c r="D55" i="2" l="1"/>
  <c r="D54" i="2"/>
  <c r="E52" i="2"/>
  <c r="D52" i="2"/>
  <c r="C36" i="107" l="1"/>
  <c r="C35" i="107"/>
  <c r="C34" i="107"/>
  <c r="C33" i="107"/>
  <c r="I34" i="107"/>
  <c r="I33" i="107"/>
  <c r="D38" i="2" l="1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G21" i="107"/>
  <c r="F21" i="107"/>
  <c r="E21" i="107"/>
  <c r="C21" i="107"/>
  <c r="I20" i="107"/>
  <c r="G20" i="107"/>
  <c r="F20" i="107"/>
  <c r="E20" i="107"/>
  <c r="D20" i="107"/>
  <c r="C20" i="107"/>
  <c r="I19" i="107"/>
  <c r="G19" i="107"/>
  <c r="F19" i="107"/>
  <c r="E19" i="107"/>
  <c r="D19" i="107"/>
  <c r="C19" i="107"/>
  <c r="I18" i="107"/>
  <c r="G18" i="107"/>
  <c r="F18" i="107"/>
  <c r="E18" i="107"/>
  <c r="D18" i="107"/>
  <c r="C18" i="107"/>
  <c r="I17" i="107"/>
  <c r="G17" i="107"/>
  <c r="F17" i="107"/>
  <c r="E17" i="107"/>
  <c r="D17" i="107"/>
  <c r="C17" i="107"/>
  <c r="I16" i="107"/>
  <c r="G16" i="107"/>
  <c r="F16" i="107"/>
  <c r="E16" i="107"/>
  <c r="D16" i="107"/>
  <c r="C16" i="107"/>
  <c r="I15" i="107"/>
  <c r="G15" i="107"/>
  <c r="F15" i="107"/>
  <c r="E15" i="107"/>
  <c r="D15" i="107"/>
  <c r="C15" i="107"/>
  <c r="I14" i="107"/>
  <c r="G14" i="107"/>
  <c r="F14" i="107"/>
  <c r="E14" i="107"/>
  <c r="D14" i="107"/>
  <c r="C14" i="107"/>
  <c r="I13" i="107"/>
  <c r="G13" i="107"/>
  <c r="F13" i="107"/>
  <c r="E13" i="107"/>
  <c r="D13" i="107"/>
  <c r="C13" i="107"/>
  <c r="I12" i="107"/>
  <c r="G12" i="107"/>
  <c r="F12" i="107"/>
  <c r="E12" i="107"/>
  <c r="D12" i="107"/>
  <c r="C12" i="107"/>
  <c r="I11" i="107"/>
  <c r="G11" i="107"/>
  <c r="F11" i="107"/>
  <c r="E11" i="107"/>
  <c r="D11" i="107"/>
  <c r="C11" i="107"/>
  <c r="I10" i="107"/>
  <c r="G10" i="107"/>
  <c r="F10" i="107"/>
  <c r="E10" i="107"/>
  <c r="D10" i="107"/>
  <c r="C10" i="107"/>
  <c r="I9" i="107"/>
  <c r="G9" i="107"/>
  <c r="F9" i="107"/>
  <c r="E9" i="107"/>
  <c r="D9" i="107"/>
  <c r="C9" i="107"/>
  <c r="I8" i="107"/>
  <c r="G8" i="107"/>
  <c r="F8" i="107"/>
  <c r="E8" i="107"/>
  <c r="D8" i="107"/>
  <c r="C8" i="107"/>
  <c r="I7" i="107"/>
  <c r="G7" i="107"/>
  <c r="F7" i="107"/>
  <c r="E7" i="107"/>
  <c r="D7" i="107"/>
  <c r="C7" i="107"/>
  <c r="C43" i="107"/>
  <c r="C42" i="107"/>
  <c r="C41" i="107"/>
  <c r="F46" i="88" l="1"/>
  <c r="E46" i="88"/>
  <c r="F45" i="88"/>
  <c r="E45" i="88"/>
  <c r="F44" i="88"/>
  <c r="E44" i="88"/>
  <c r="F43" i="88"/>
  <c r="E43" i="88"/>
  <c r="F42" i="88"/>
  <c r="E42" i="88"/>
  <c r="F41" i="88"/>
  <c r="E41" i="88"/>
  <c r="F40" i="88"/>
  <c r="E40" i="88"/>
  <c r="F39" i="88"/>
  <c r="E39" i="88"/>
  <c r="F38" i="88"/>
  <c r="E38" i="88"/>
  <c r="F62" i="88"/>
  <c r="E62" i="88"/>
  <c r="F61" i="88"/>
  <c r="E61" i="88"/>
  <c r="F60" i="88"/>
  <c r="E60" i="88"/>
  <c r="F59" i="88"/>
  <c r="E59" i="88"/>
  <c r="F58" i="88"/>
  <c r="E58" i="88"/>
  <c r="F57" i="88"/>
  <c r="E57" i="88"/>
  <c r="F56" i="88"/>
  <c r="E56" i="88"/>
  <c r="F55" i="88"/>
  <c r="E55" i="88"/>
  <c r="D56" i="98" l="1"/>
  <c r="C56" i="98"/>
  <c r="D51" i="98"/>
  <c r="C51" i="98"/>
  <c r="D46" i="98"/>
  <c r="C46" i="98"/>
  <c r="D45" i="98"/>
  <c r="C45" i="98"/>
  <c r="D44" i="98"/>
  <c r="C44" i="98"/>
  <c r="D43" i="98"/>
  <c r="C43" i="98"/>
  <c r="D42" i="98"/>
  <c r="C42" i="98"/>
  <c r="D41" i="98"/>
  <c r="C41" i="98"/>
  <c r="D40" i="98"/>
  <c r="C40" i="98"/>
  <c r="D39" i="98"/>
  <c r="C39" i="98"/>
  <c r="D34" i="98"/>
  <c r="C34" i="98"/>
  <c r="D30" i="98"/>
  <c r="C30" i="98"/>
  <c r="D29" i="98"/>
  <c r="C29" i="98"/>
  <c r="D28" i="98"/>
  <c r="C28" i="98"/>
  <c r="D27" i="98"/>
  <c r="C27" i="98"/>
  <c r="D26" i="98"/>
  <c r="C26" i="98"/>
  <c r="D25" i="98"/>
  <c r="C25" i="98"/>
  <c r="D24" i="98"/>
  <c r="C24" i="98"/>
  <c r="D23" i="98"/>
  <c r="C23" i="98"/>
  <c r="D18" i="98"/>
  <c r="C18" i="98"/>
  <c r="D17" i="98"/>
  <c r="C17" i="98"/>
  <c r="D16" i="98"/>
  <c r="C16" i="98"/>
  <c r="D15" i="98"/>
  <c r="C15" i="98"/>
  <c r="D14" i="98"/>
  <c r="C14" i="98"/>
  <c r="D13" i="98"/>
  <c r="C13" i="98"/>
  <c r="D12" i="98"/>
  <c r="C12" i="98"/>
  <c r="D11" i="98"/>
  <c r="C11" i="98"/>
  <c r="D10" i="98"/>
  <c r="C10" i="98"/>
  <c r="D9" i="98"/>
  <c r="C9" i="98"/>
  <c r="D8" i="98"/>
  <c r="C8" i="98"/>
  <c r="D7" i="98"/>
  <c r="C7" i="98"/>
  <c r="E90" i="88"/>
  <c r="D90" i="88"/>
  <c r="C90" i="88"/>
  <c r="E89" i="88"/>
  <c r="D89" i="88"/>
  <c r="C89" i="88"/>
  <c r="E88" i="88"/>
  <c r="D88" i="88"/>
  <c r="C88" i="88"/>
  <c r="E87" i="88"/>
  <c r="D87" i="88"/>
  <c r="C87" i="88"/>
  <c r="E86" i="88"/>
  <c r="D86" i="88"/>
  <c r="C86" i="88"/>
  <c r="E85" i="88"/>
  <c r="D85" i="88"/>
  <c r="C85" i="88"/>
  <c r="E84" i="88"/>
  <c r="D84" i="88"/>
  <c r="C84" i="88"/>
  <c r="E83" i="88"/>
  <c r="D83" i="88"/>
  <c r="C83" i="88"/>
  <c r="E82" i="88"/>
  <c r="D82" i="88"/>
  <c r="C82" i="88"/>
  <c r="E81" i="88"/>
  <c r="D81" i="88"/>
  <c r="C81" i="88"/>
  <c r="E80" i="88"/>
  <c r="D80" i="88"/>
  <c r="C80" i="88"/>
  <c r="E79" i="88"/>
  <c r="D79" i="88"/>
  <c r="C79" i="88"/>
  <c r="E78" i="88"/>
  <c r="D78" i="88"/>
  <c r="C78" i="88"/>
  <c r="E77" i="88"/>
  <c r="D77" i="88"/>
  <c r="C77" i="88"/>
  <c r="E76" i="88"/>
  <c r="D76" i="88"/>
  <c r="C76" i="88"/>
  <c r="F69" i="88"/>
  <c r="E69" i="88"/>
  <c r="F66" i="88"/>
  <c r="E66" i="88"/>
  <c r="F65" i="88"/>
  <c r="E65" i="88"/>
  <c r="F52" i="88"/>
  <c r="E52" i="88"/>
  <c r="F51" i="88"/>
  <c r="E51" i="88"/>
  <c r="F50" i="88"/>
  <c r="E50" i="88"/>
  <c r="F49" i="88"/>
  <c r="E49" i="88"/>
  <c r="D33" i="88"/>
  <c r="C33" i="88"/>
  <c r="D32" i="88"/>
  <c r="C32" i="88"/>
  <c r="D28" i="88"/>
  <c r="C28" i="88"/>
  <c r="D27" i="88"/>
  <c r="C27" i="88"/>
  <c r="D26" i="88"/>
  <c r="C26" i="88"/>
  <c r="D25" i="88"/>
  <c r="C25" i="88"/>
  <c r="D24" i="88"/>
  <c r="C24" i="88"/>
  <c r="D23" i="88"/>
  <c r="C23" i="88"/>
  <c r="D21" i="88"/>
  <c r="C21" i="88"/>
  <c r="D20" i="88"/>
  <c r="C20" i="88"/>
  <c r="D19" i="88"/>
  <c r="C19" i="88"/>
  <c r="D18" i="88"/>
  <c r="C18" i="88"/>
  <c r="F16" i="88"/>
  <c r="E16" i="88"/>
  <c r="D16" i="88"/>
  <c r="C16" i="88"/>
  <c r="F15" i="88"/>
  <c r="E15" i="88"/>
  <c r="D15" i="88"/>
  <c r="C15" i="88"/>
  <c r="F14" i="88"/>
  <c r="E14" i="88"/>
  <c r="D14" i="88"/>
  <c r="C14" i="88"/>
  <c r="F13" i="88"/>
  <c r="E13" i="88"/>
  <c r="D13" i="88"/>
  <c r="C13" i="88"/>
  <c r="F12" i="88"/>
  <c r="E12" i="88"/>
  <c r="D12" i="88"/>
  <c r="C12" i="88"/>
  <c r="F11" i="88"/>
  <c r="E11" i="88"/>
  <c r="D11" i="88"/>
  <c r="C11" i="88"/>
  <c r="F10" i="88"/>
  <c r="E10" i="88"/>
  <c r="D10" i="88"/>
  <c r="C10" i="88"/>
  <c r="F9" i="88"/>
  <c r="E9" i="88"/>
  <c r="D9" i="88"/>
  <c r="C9" i="88"/>
  <c r="F8" i="88"/>
  <c r="E8" i="88"/>
  <c r="D8" i="88"/>
  <c r="C8" i="88"/>
  <c r="F7" i="88"/>
  <c r="E7" i="88"/>
  <c r="D7" i="88"/>
  <c r="C7" i="88"/>
  <c r="E82" i="87"/>
  <c r="D82" i="87"/>
  <c r="G79" i="87"/>
  <c r="F79" i="87"/>
  <c r="E79" i="87"/>
  <c r="D79" i="87"/>
  <c r="G78" i="87"/>
  <c r="F78" i="87"/>
  <c r="E78" i="87"/>
  <c r="D78" i="87"/>
  <c r="G77" i="87"/>
  <c r="F77" i="87"/>
  <c r="G76" i="87"/>
  <c r="F76" i="87"/>
  <c r="E76" i="87"/>
  <c r="D76" i="87"/>
  <c r="G72" i="87"/>
  <c r="F72" i="87"/>
  <c r="E72" i="87"/>
  <c r="D72" i="87"/>
  <c r="G71" i="87"/>
  <c r="F71" i="87"/>
  <c r="E71" i="87"/>
  <c r="D71" i="87"/>
  <c r="G70" i="87"/>
  <c r="F70" i="87"/>
  <c r="E70" i="87"/>
  <c r="D70" i="87"/>
  <c r="G69" i="87"/>
  <c r="F69" i="87"/>
  <c r="E69" i="87"/>
  <c r="D69" i="87"/>
  <c r="G68" i="87"/>
  <c r="F68" i="87"/>
  <c r="E68" i="87"/>
  <c r="D68" i="87"/>
  <c r="E64" i="87"/>
  <c r="D64" i="87"/>
  <c r="G60" i="87"/>
  <c r="F60" i="87"/>
  <c r="E60" i="87"/>
  <c r="D60" i="87"/>
  <c r="G59" i="87"/>
  <c r="F59" i="87"/>
  <c r="E59" i="87"/>
  <c r="D59" i="87"/>
  <c r="G58" i="87"/>
  <c r="F58" i="87"/>
  <c r="E58" i="87"/>
  <c r="D58" i="87"/>
  <c r="G57" i="87"/>
  <c r="F57" i="87"/>
  <c r="E57" i="87"/>
  <c r="D57" i="87"/>
  <c r="G56" i="87"/>
  <c r="F56" i="87"/>
  <c r="E56" i="87"/>
  <c r="D56" i="87"/>
  <c r="E52" i="87"/>
  <c r="D52" i="87"/>
  <c r="E51" i="87"/>
  <c r="D51" i="87"/>
  <c r="E50" i="87"/>
  <c r="D50" i="87"/>
  <c r="E49" i="87"/>
  <c r="D49" i="87"/>
  <c r="E48" i="87"/>
  <c r="D48" i="87"/>
  <c r="E47" i="87"/>
  <c r="D47" i="87"/>
  <c r="E46" i="87"/>
  <c r="D46" i="87"/>
  <c r="E45" i="87"/>
  <c r="D45" i="87"/>
  <c r="G41" i="87"/>
  <c r="F41" i="87"/>
  <c r="G40" i="87"/>
  <c r="F40" i="87"/>
  <c r="G39" i="87"/>
  <c r="F39" i="87"/>
  <c r="G38" i="87"/>
  <c r="F38" i="87"/>
  <c r="G37" i="87"/>
  <c r="F37" i="87"/>
  <c r="G36" i="87"/>
  <c r="F36" i="87"/>
  <c r="G35" i="87"/>
  <c r="F35" i="87"/>
  <c r="G34" i="87"/>
  <c r="F34" i="87"/>
  <c r="G33" i="87"/>
  <c r="F33" i="87"/>
  <c r="G32" i="87"/>
  <c r="F32" i="87"/>
  <c r="G31" i="87"/>
  <c r="F31" i="87"/>
  <c r="G30" i="87"/>
  <c r="F30" i="87"/>
  <c r="G29" i="87"/>
  <c r="F29" i="87"/>
  <c r="E40" i="87"/>
  <c r="D40" i="87"/>
  <c r="E39" i="87"/>
  <c r="D39" i="87"/>
  <c r="E38" i="87"/>
  <c r="D38" i="87"/>
  <c r="E37" i="87"/>
  <c r="D37" i="87"/>
  <c r="E36" i="87"/>
  <c r="D36" i="87"/>
  <c r="E35" i="87"/>
  <c r="D35" i="87"/>
  <c r="E34" i="87"/>
  <c r="D34" i="87"/>
  <c r="E33" i="87"/>
  <c r="D33" i="87"/>
  <c r="E32" i="87"/>
  <c r="D32" i="87"/>
  <c r="E31" i="87"/>
  <c r="D31" i="87"/>
  <c r="E30" i="87"/>
  <c r="D30" i="87"/>
  <c r="E29" i="87"/>
  <c r="D29" i="87"/>
  <c r="E41" i="87"/>
  <c r="D41" i="87"/>
  <c r="G24" i="87"/>
  <c r="F24" i="87"/>
  <c r="G23" i="87"/>
  <c r="F23" i="87"/>
  <c r="G22" i="87"/>
  <c r="F22" i="87"/>
  <c r="G21" i="87"/>
  <c r="F21" i="87"/>
  <c r="G20" i="87"/>
  <c r="F20" i="87"/>
  <c r="G19" i="87"/>
  <c r="F19" i="87"/>
  <c r="G18" i="87"/>
  <c r="F18" i="87"/>
  <c r="G17" i="87"/>
  <c r="F17" i="87"/>
  <c r="G16" i="87"/>
  <c r="F16" i="87"/>
  <c r="G15" i="87"/>
  <c r="F15" i="87"/>
  <c r="G14" i="87"/>
  <c r="F14" i="87"/>
  <c r="G13" i="87"/>
  <c r="F13" i="87"/>
  <c r="G12" i="87"/>
  <c r="F12" i="87"/>
  <c r="G11" i="87"/>
  <c r="F11" i="87"/>
  <c r="G10" i="87"/>
  <c r="F10" i="87"/>
  <c r="G9" i="87"/>
  <c r="F9" i="87"/>
  <c r="G8" i="87"/>
  <c r="F8" i="87"/>
  <c r="E21" i="87"/>
  <c r="D21" i="87"/>
  <c r="E20" i="87"/>
  <c r="D20" i="87"/>
  <c r="E19" i="87"/>
  <c r="D19" i="87"/>
  <c r="E18" i="87"/>
  <c r="D18" i="87"/>
  <c r="E17" i="87"/>
  <c r="D17" i="87"/>
  <c r="E16" i="87"/>
  <c r="D16" i="87"/>
  <c r="E15" i="87"/>
  <c r="D15" i="87"/>
  <c r="E14" i="87"/>
  <c r="D14" i="87"/>
  <c r="E13" i="87"/>
  <c r="D13" i="87"/>
  <c r="E12" i="87"/>
  <c r="D12" i="87"/>
  <c r="E11" i="87"/>
  <c r="D11" i="87"/>
  <c r="E10" i="87"/>
  <c r="D10" i="87"/>
  <c r="E9" i="87"/>
  <c r="D9" i="87"/>
  <c r="E8" i="87"/>
  <c r="D8" i="87"/>
  <c r="E24" i="87"/>
  <c r="D24" i="87"/>
  <c r="E23" i="87"/>
  <c r="D23" i="87"/>
  <c r="E22" i="87"/>
  <c r="D22" i="8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E7" i="17"/>
  <c r="D7" i="17"/>
  <c r="E6" i="17"/>
  <c r="D6" i="17"/>
  <c r="E76" i="13" l="1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I12" i="12"/>
  <c r="H12" i="12"/>
  <c r="I11" i="12"/>
  <c r="H11" i="12"/>
  <c r="I10" i="12"/>
  <c r="H10" i="12"/>
  <c r="I9" i="12"/>
  <c r="H9" i="12"/>
  <c r="I8" i="12"/>
  <c r="H8" i="12"/>
  <c r="I7" i="12"/>
  <c r="H7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2" i="12"/>
  <c r="D12" i="12"/>
  <c r="E11" i="12"/>
  <c r="D11" i="12"/>
  <c r="E10" i="12"/>
  <c r="D10" i="12"/>
  <c r="E9" i="12"/>
  <c r="D9" i="12"/>
  <c r="E8" i="12"/>
  <c r="D8" i="12"/>
  <c r="E7" i="12"/>
  <c r="D7" i="12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19" i="24"/>
  <c r="E18" i="24"/>
  <c r="E17" i="24"/>
  <c r="E16" i="24"/>
  <c r="E15" i="24"/>
  <c r="E14" i="24"/>
  <c r="E13" i="24"/>
  <c r="E12" i="24"/>
  <c r="E10" i="24"/>
  <c r="E9" i="24"/>
  <c r="E8" i="24"/>
  <c r="E7" i="24"/>
  <c r="H49" i="91"/>
  <c r="H48" i="91"/>
  <c r="H47" i="91"/>
  <c r="D41" i="91"/>
  <c r="C41" i="91"/>
  <c r="D40" i="91"/>
  <c r="C40" i="91"/>
  <c r="D39" i="91"/>
  <c r="C39" i="91"/>
  <c r="D38" i="91"/>
  <c r="C38" i="91"/>
  <c r="D30" i="91"/>
  <c r="C30" i="91"/>
  <c r="D29" i="91"/>
  <c r="C29" i="91"/>
  <c r="D28" i="91"/>
  <c r="C28" i="91"/>
  <c r="D27" i="91"/>
  <c r="C27" i="91"/>
  <c r="D26" i="91"/>
  <c r="C26" i="91"/>
  <c r="D25" i="91"/>
  <c r="C25" i="91"/>
  <c r="D24" i="91"/>
  <c r="C24" i="91"/>
  <c r="D23" i="91"/>
  <c r="C23" i="91"/>
  <c r="D22" i="91"/>
  <c r="C22" i="91"/>
  <c r="D21" i="91"/>
  <c r="C21" i="91"/>
  <c r="D20" i="91"/>
  <c r="C20" i="91"/>
  <c r="D19" i="91"/>
  <c r="C19" i="91"/>
  <c r="H10" i="91"/>
  <c r="H9" i="91"/>
  <c r="H8" i="91"/>
  <c r="H7" i="91"/>
  <c r="H6" i="91"/>
  <c r="H5" i="91"/>
  <c r="H4" i="91"/>
  <c r="E11" i="91"/>
  <c r="E10" i="91"/>
  <c r="E9" i="91"/>
  <c r="C11" i="91"/>
  <c r="C10" i="91"/>
  <c r="C9" i="91"/>
  <c r="C8" i="91"/>
  <c r="C7" i="91"/>
  <c r="C6" i="91"/>
  <c r="C5" i="91"/>
  <c r="C4" i="91"/>
  <c r="F13" i="106"/>
  <c r="F12" i="106"/>
  <c r="F11" i="106"/>
  <c r="F10" i="106"/>
  <c r="F9" i="106"/>
  <c r="F8" i="106"/>
  <c r="F7" i="106"/>
  <c r="F6" i="106"/>
  <c r="F5" i="106"/>
  <c r="F4" i="106"/>
  <c r="D23" i="92"/>
  <c r="C23" i="92"/>
  <c r="D22" i="92"/>
  <c r="C22" i="92"/>
  <c r="D21" i="92"/>
  <c r="C21" i="92"/>
  <c r="D20" i="92"/>
  <c r="C20" i="92"/>
  <c r="D19" i="92"/>
  <c r="C19" i="92"/>
  <c r="D18" i="92"/>
  <c r="C18" i="92"/>
  <c r="D17" i="92"/>
  <c r="C17" i="92"/>
  <c r="D16" i="92"/>
  <c r="C16" i="92"/>
  <c r="D15" i="92"/>
  <c r="C15" i="92"/>
  <c r="D14" i="92"/>
  <c r="C14" i="92"/>
  <c r="D13" i="92"/>
  <c r="C13" i="92"/>
  <c r="D12" i="92"/>
  <c r="C12" i="92"/>
  <c r="D11" i="92"/>
  <c r="C11" i="92"/>
  <c r="D10" i="92"/>
  <c r="C10" i="92"/>
  <c r="D9" i="92"/>
  <c r="C9" i="92"/>
  <c r="D8" i="92"/>
  <c r="C8" i="92"/>
  <c r="D7" i="92"/>
  <c r="C7" i="92"/>
  <c r="D6" i="92"/>
  <c r="C6" i="92"/>
  <c r="F88" i="110"/>
  <c r="E88" i="110"/>
  <c r="D88" i="110"/>
  <c r="F87" i="110"/>
  <c r="E87" i="110"/>
  <c r="D87" i="110"/>
  <c r="D86" i="110"/>
  <c r="D85" i="110"/>
  <c r="E84" i="110"/>
  <c r="D84" i="110"/>
  <c r="D79" i="110"/>
  <c r="D78" i="110"/>
  <c r="D77" i="110"/>
  <c r="D76" i="110"/>
  <c r="D75" i="110"/>
  <c r="D74" i="110"/>
  <c r="D73" i="110"/>
  <c r="D72" i="110"/>
  <c r="D71" i="110"/>
  <c r="D70" i="110"/>
  <c r="D69" i="110"/>
  <c r="D68" i="110"/>
  <c r="D67" i="110"/>
  <c r="E61" i="110"/>
  <c r="D61" i="110"/>
  <c r="D60" i="110"/>
  <c r="E59" i="110"/>
  <c r="D54" i="110"/>
  <c r="E53" i="110"/>
  <c r="F52" i="110"/>
  <c r="E52" i="110"/>
  <c r="F51" i="110"/>
  <c r="E51" i="110"/>
  <c r="D51" i="110"/>
  <c r="F50" i="110"/>
  <c r="E50" i="110"/>
  <c r="D50" i="110"/>
  <c r="E49" i="110"/>
  <c r="F48" i="110"/>
  <c r="E48" i="110"/>
  <c r="D48" i="110"/>
  <c r="F47" i="110"/>
  <c r="E47" i="110"/>
  <c r="D46" i="110"/>
  <c r="D45" i="110"/>
  <c r="F44" i="110"/>
  <c r="E44" i="110"/>
  <c r="D44" i="110"/>
  <c r="F43" i="110"/>
  <c r="E43" i="110"/>
  <c r="D43" i="110"/>
  <c r="F42" i="110"/>
  <c r="E42" i="110"/>
  <c r="F41" i="110"/>
  <c r="E41" i="110"/>
  <c r="D41" i="110"/>
  <c r="F40" i="110"/>
  <c r="E40" i="110"/>
  <c r="D40" i="110"/>
  <c r="F39" i="110"/>
  <c r="E39" i="110"/>
  <c r="D39" i="110"/>
  <c r="F38" i="110"/>
  <c r="E38" i="110"/>
  <c r="D38" i="110"/>
  <c r="E37" i="110"/>
  <c r="E36" i="110"/>
  <c r="F35" i="110"/>
  <c r="E35" i="110"/>
  <c r="D35" i="110"/>
  <c r="F34" i="110"/>
  <c r="F33" i="110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F26" i="110"/>
  <c r="E26" i="110"/>
  <c r="E25" i="110"/>
  <c r="E24" i="110"/>
  <c r="D23" i="110"/>
  <c r="E22" i="110"/>
  <c r="D22" i="110"/>
  <c r="E21" i="110"/>
  <c r="D21" i="110"/>
  <c r="E20" i="110"/>
  <c r="D20" i="110"/>
  <c r="E19" i="110"/>
  <c r="E18" i="110"/>
  <c r="E17" i="110"/>
  <c r="D17" i="110"/>
  <c r="E16" i="110"/>
  <c r="E15" i="110"/>
  <c r="D15" i="110"/>
  <c r="E14" i="110"/>
  <c r="D14" i="110"/>
  <c r="E13" i="110"/>
  <c r="D13" i="110"/>
  <c r="E12" i="110"/>
  <c r="D12" i="110"/>
  <c r="E11" i="110"/>
  <c r="D11" i="110"/>
  <c r="E10" i="110"/>
  <c r="D10" i="110"/>
  <c r="E9" i="110"/>
  <c r="D9" i="110"/>
  <c r="E8" i="110"/>
  <c r="D8" i="110"/>
  <c r="E7" i="110"/>
  <c r="E6" i="110"/>
  <c r="D37" i="101"/>
  <c r="D30" i="101"/>
  <c r="C30" i="101"/>
  <c r="H9" i="101"/>
  <c r="H8" i="101"/>
  <c r="H7" i="101"/>
  <c r="H6" i="101"/>
  <c r="H5" i="101"/>
  <c r="H4" i="101"/>
  <c r="C25" i="106" l="1"/>
  <c r="C24" i="106"/>
  <c r="C23" i="106"/>
  <c r="C22" i="106"/>
  <c r="C21" i="106"/>
  <c r="C20" i="106"/>
  <c r="C19" i="106"/>
  <c r="C18" i="106"/>
  <c r="C17" i="106"/>
  <c r="C16" i="106"/>
  <c r="C15" i="106"/>
  <c r="C14" i="106"/>
  <c r="C13" i="106"/>
  <c r="C12" i="106"/>
  <c r="C11" i="106"/>
  <c r="C10" i="106"/>
  <c r="C9" i="106"/>
  <c r="C8" i="106"/>
  <c r="C7" i="106"/>
  <c r="C6" i="106"/>
  <c r="C5" i="106"/>
  <c r="C4" i="106"/>
  <c r="K13" i="12" l="1"/>
  <c r="J13" i="12"/>
  <c r="D25" i="79" l="1"/>
  <c r="D24" i="79"/>
  <c r="D23" i="79"/>
  <c r="D15" i="79"/>
  <c r="D14" i="79"/>
  <c r="D13" i="79"/>
  <c r="D6" i="79"/>
  <c r="D65" i="20"/>
  <c r="D64" i="20"/>
  <c r="D63" i="20"/>
  <c r="D62" i="20"/>
  <c r="D61" i="20"/>
  <c r="D59" i="20"/>
  <c r="D58" i="20"/>
  <c r="D57" i="20"/>
  <c r="D56" i="20"/>
  <c r="D55" i="20"/>
  <c r="D46" i="20"/>
  <c r="D45" i="20"/>
  <c r="D44" i="20"/>
  <c r="D43" i="20"/>
  <c r="D42" i="20"/>
  <c r="D40" i="20"/>
  <c r="D39" i="20"/>
  <c r="D38" i="20"/>
  <c r="D37" i="20"/>
  <c r="D36" i="20"/>
  <c r="D27" i="20"/>
  <c r="D26" i="20"/>
  <c r="D25" i="20"/>
  <c r="D24" i="20"/>
  <c r="D23" i="20"/>
  <c r="D22" i="20"/>
  <c r="D21" i="20"/>
  <c r="D20" i="20"/>
  <c r="D19" i="20"/>
  <c r="D18" i="20"/>
  <c r="D17" i="20"/>
  <c r="D10" i="20"/>
  <c r="D9" i="20"/>
  <c r="D8" i="20"/>
  <c r="D7" i="20"/>
  <c r="D6" i="20"/>
  <c r="D6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8" i="60"/>
  <c r="D7" i="60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77" i="22"/>
  <c r="D76" i="22"/>
  <c r="D75" i="22"/>
  <c r="D74" i="22"/>
  <c r="D73" i="22"/>
  <c r="D65" i="22"/>
  <c r="D64" i="22"/>
  <c r="D63" i="22"/>
  <c r="D62" i="22"/>
  <c r="D61" i="22"/>
  <c r="D60" i="22"/>
  <c r="D52" i="22"/>
  <c r="D51" i="22"/>
  <c r="D50" i="22"/>
  <c r="D49" i="22"/>
  <c r="D48" i="22"/>
  <c r="D46" i="22"/>
  <c r="D45" i="22"/>
  <c r="D44" i="22"/>
  <c r="D43" i="22"/>
  <c r="D42" i="22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15" i="18"/>
  <c r="D14" i="18"/>
  <c r="D13" i="18"/>
  <c r="D12" i="18"/>
  <c r="D11" i="18"/>
  <c r="D9" i="18"/>
  <c r="D8" i="18"/>
  <c r="D7" i="18"/>
  <c r="D6" i="18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74" i="14"/>
  <c r="D73" i="14"/>
  <c r="D71" i="14"/>
  <c r="D70" i="14"/>
  <c r="D69" i="14"/>
  <c r="D68" i="14"/>
  <c r="D67" i="14"/>
  <c r="D66" i="14"/>
  <c r="D65" i="14"/>
  <c r="D64" i="14"/>
  <c r="D6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H29" i="54" l="1"/>
  <c r="H28" i="54"/>
  <c r="H27" i="54"/>
  <c r="G27" i="54"/>
  <c r="F27" i="54"/>
  <c r="E27" i="54"/>
  <c r="D27" i="54"/>
  <c r="C27" i="54"/>
  <c r="I18" i="54"/>
  <c r="I17" i="54"/>
  <c r="I16" i="54"/>
  <c r="H16" i="54"/>
  <c r="G16" i="54"/>
  <c r="F16" i="54"/>
  <c r="E16" i="54"/>
  <c r="D16" i="54"/>
  <c r="C16" i="54"/>
  <c r="I8" i="54"/>
  <c r="I7" i="54"/>
  <c r="I6" i="54"/>
  <c r="H6" i="54"/>
  <c r="G6" i="54"/>
  <c r="F6" i="54"/>
  <c r="E6" i="54"/>
  <c r="D6" i="54"/>
  <c r="C6" i="54"/>
  <c r="C58" i="109" l="1"/>
  <c r="H42" i="101" l="1"/>
  <c r="G42" i="101"/>
  <c r="H41" i="101"/>
  <c r="G41" i="101"/>
  <c r="H40" i="101"/>
  <c r="G40" i="101"/>
  <c r="H39" i="101"/>
  <c r="G39" i="101"/>
  <c r="H38" i="101"/>
  <c r="G38" i="101"/>
  <c r="G37" i="101"/>
  <c r="H36" i="101"/>
  <c r="G36" i="101"/>
  <c r="H35" i="101"/>
  <c r="G35" i="101"/>
  <c r="H34" i="101"/>
  <c r="G34" i="101"/>
  <c r="H33" i="101"/>
  <c r="G33" i="101"/>
  <c r="H32" i="101"/>
  <c r="G32" i="101"/>
  <c r="G31" i="101"/>
  <c r="H30" i="101"/>
  <c r="G30" i="101"/>
  <c r="D22" i="101"/>
  <c r="D21" i="101"/>
  <c r="D20" i="101"/>
  <c r="H24" i="101"/>
  <c r="H23" i="101"/>
  <c r="H22" i="101"/>
  <c r="H21" i="101"/>
  <c r="H20" i="101"/>
  <c r="D12" i="101"/>
  <c r="D11" i="101"/>
  <c r="D10" i="101"/>
  <c r="D9" i="101"/>
  <c r="D8" i="101"/>
  <c r="D7" i="101"/>
  <c r="D6" i="101"/>
  <c r="D5" i="101"/>
  <c r="C35" i="106" l="1"/>
  <c r="C34" i="106"/>
  <c r="C33" i="106"/>
  <c r="G61" i="22" l="1"/>
  <c r="F61" i="22"/>
  <c r="G60" i="22"/>
  <c r="F60" i="22"/>
  <c r="E39" i="21" l="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79" l="1"/>
  <c r="E24" i="79"/>
  <c r="E23" i="79"/>
  <c r="E27" i="20"/>
  <c r="E26" i="20"/>
  <c r="E25" i="20"/>
  <c r="E24" i="20"/>
  <c r="E23" i="20"/>
  <c r="E22" i="20"/>
  <c r="E21" i="20"/>
  <c r="E20" i="20"/>
  <c r="E19" i="20"/>
  <c r="E18" i="20"/>
  <c r="E17" i="20"/>
  <c r="E9" i="20"/>
  <c r="E8" i="20"/>
  <c r="E33" i="60"/>
  <c r="E32" i="60"/>
  <c r="E31" i="60"/>
  <c r="E30" i="60"/>
  <c r="E29" i="60"/>
  <c r="E28" i="60"/>
  <c r="E27" i="60"/>
  <c r="E26" i="60"/>
  <c r="E25" i="60"/>
  <c r="E24" i="60"/>
  <c r="E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10" i="60"/>
  <c r="E9" i="60"/>
  <c r="E8" i="60"/>
  <c r="E7" i="60"/>
  <c r="E6" i="60"/>
  <c r="E65" i="22"/>
  <c r="E64" i="22"/>
  <c r="E63" i="22"/>
  <c r="E62" i="22"/>
  <c r="E52" i="22"/>
  <c r="E51" i="22"/>
  <c r="E50" i="22"/>
  <c r="E49" i="22"/>
  <c r="E48" i="22"/>
  <c r="E46" i="22"/>
  <c r="E45" i="22"/>
  <c r="E44" i="22"/>
  <c r="E43" i="22"/>
  <c r="E42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15" i="18"/>
  <c r="E14" i="18"/>
  <c r="E13" i="18"/>
  <c r="E12" i="18"/>
  <c r="E11" i="18"/>
  <c r="E10" i="18"/>
  <c r="E9" i="18"/>
  <c r="E8" i="18"/>
  <c r="E7" i="18"/>
  <c r="E6" i="18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4" i="16"/>
  <c r="E13" i="16"/>
  <c r="E12" i="16"/>
  <c r="E11" i="16"/>
  <c r="E10" i="16"/>
  <c r="E9" i="16"/>
  <c r="E8" i="16"/>
  <c r="E7" i="16"/>
  <c r="E6" i="16"/>
  <c r="E35" i="15"/>
  <c r="E34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74" i="14"/>
  <c r="E73" i="14"/>
  <c r="E71" i="14"/>
  <c r="E70" i="14"/>
  <c r="E69" i="14"/>
  <c r="E68" i="14"/>
  <c r="E67" i="14"/>
  <c r="E66" i="14"/>
  <c r="E65" i="14"/>
  <c r="E64" i="14"/>
  <c r="E6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K39" i="12" l="1"/>
  <c r="J39" i="12"/>
  <c r="K38" i="12"/>
  <c r="J38" i="12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2" i="12"/>
  <c r="J12" i="12"/>
  <c r="K11" i="12"/>
  <c r="J11" i="12"/>
  <c r="K10" i="12"/>
  <c r="J10" i="12"/>
  <c r="K9" i="12"/>
  <c r="J9" i="12"/>
  <c r="K8" i="12"/>
  <c r="J8" i="12"/>
  <c r="K7" i="12"/>
  <c r="J7" i="12"/>
  <c r="G38" i="12"/>
  <c r="F38" i="12"/>
  <c r="G37" i="12"/>
  <c r="F37" i="12"/>
  <c r="G17" i="12"/>
  <c r="F17" i="12"/>
  <c r="G16" i="12"/>
  <c r="F16" i="12"/>
  <c r="G15" i="12"/>
  <c r="F15" i="12"/>
  <c r="G14" i="12"/>
  <c r="F14" i="12"/>
  <c r="G74" i="12"/>
  <c r="K52" i="14"/>
  <c r="J52" i="14"/>
  <c r="K51" i="14"/>
  <c r="J51" i="14"/>
  <c r="K50" i="14"/>
  <c r="J50" i="14"/>
  <c r="K49" i="14"/>
  <c r="J49" i="14"/>
  <c r="K48" i="14"/>
  <c r="J48" i="14"/>
  <c r="K47" i="14"/>
  <c r="J47" i="14"/>
  <c r="K46" i="14"/>
  <c r="J46" i="14"/>
  <c r="K45" i="14"/>
  <c r="J45" i="14"/>
  <c r="K44" i="14"/>
  <c r="J44" i="14"/>
  <c r="K43" i="14"/>
  <c r="J43" i="14"/>
  <c r="K42" i="14"/>
  <c r="J42" i="14"/>
  <c r="K41" i="14"/>
  <c r="J41" i="14"/>
  <c r="K36" i="13"/>
  <c r="J36" i="13"/>
  <c r="K35" i="13"/>
  <c r="J35" i="13"/>
  <c r="K34" i="13"/>
  <c r="J34" i="13"/>
  <c r="K33" i="13"/>
  <c r="J33" i="13"/>
  <c r="K32" i="13"/>
  <c r="J32" i="13"/>
  <c r="K31" i="13"/>
  <c r="J31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5" i="13"/>
  <c r="J15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K7" i="13"/>
  <c r="J7" i="13"/>
  <c r="D59" i="91"/>
  <c r="D58" i="91"/>
  <c r="D57" i="91"/>
  <c r="D56" i="91"/>
  <c r="D55" i="91"/>
  <c r="D54" i="91"/>
  <c r="D53" i="91"/>
  <c r="D52" i="91"/>
  <c r="D51" i="91"/>
  <c r="D50" i="91"/>
  <c r="D49" i="91"/>
  <c r="D48" i="91"/>
  <c r="D47" i="91"/>
  <c r="D46" i="91"/>
  <c r="H32" i="91"/>
  <c r="H31" i="91"/>
  <c r="H30" i="91"/>
  <c r="H29" i="91"/>
  <c r="H28" i="91"/>
  <c r="H27" i="91"/>
  <c r="H26" i="91"/>
  <c r="H25" i="91"/>
  <c r="H24" i="91"/>
  <c r="H23" i="91"/>
  <c r="H22" i="91"/>
  <c r="H21" i="91"/>
  <c r="H20" i="91"/>
  <c r="H19" i="91"/>
  <c r="H18" i="91"/>
  <c r="H17" i="91"/>
  <c r="G39" i="12"/>
  <c r="F39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2" i="12"/>
  <c r="F12" i="12"/>
  <c r="G11" i="12"/>
  <c r="F11" i="12"/>
  <c r="G10" i="12"/>
  <c r="F10" i="12"/>
  <c r="G9" i="12"/>
  <c r="F9" i="12"/>
  <c r="G8" i="12"/>
  <c r="F8" i="12"/>
  <c r="G7" i="12"/>
  <c r="F7" i="12"/>
  <c r="F42" i="14"/>
  <c r="G6" i="20"/>
  <c r="F6" i="20"/>
  <c r="G24" i="79"/>
  <c r="F24" i="79"/>
  <c r="F37" i="18"/>
  <c r="G37" i="18"/>
  <c r="F9" i="20"/>
  <c r="G9" i="20"/>
  <c r="E515" i="99"/>
  <c r="F515" i="99"/>
  <c r="H515" i="99"/>
  <c r="E514" i="99"/>
  <c r="F514" i="99"/>
  <c r="H514" i="99"/>
  <c r="E513" i="99"/>
  <c r="F513" i="99"/>
  <c r="H513" i="99"/>
  <c r="E512" i="99"/>
  <c r="F512" i="99"/>
  <c r="H512" i="99"/>
  <c r="E511" i="99"/>
  <c r="F511" i="99"/>
  <c r="H511" i="99"/>
  <c r="F524" i="99"/>
  <c r="F523" i="99"/>
  <c r="F522" i="99"/>
  <c r="F521" i="99"/>
  <c r="A520" i="99"/>
  <c r="A519" i="99"/>
  <c r="A518" i="99"/>
  <c r="A517" i="99"/>
  <c r="A516" i="99"/>
  <c r="A515" i="99"/>
  <c r="A514" i="99"/>
  <c r="A513" i="99"/>
  <c r="A512" i="99"/>
  <c r="A511" i="99"/>
  <c r="F520" i="99"/>
  <c r="E520" i="99"/>
  <c r="F519" i="99"/>
  <c r="E519" i="99"/>
  <c r="F518" i="99"/>
  <c r="E518" i="99"/>
  <c r="F517" i="99"/>
  <c r="E517" i="99"/>
  <c r="F516" i="99"/>
  <c r="E516" i="99"/>
  <c r="D33" i="111"/>
  <c r="E23" i="111"/>
  <c r="E22" i="111"/>
  <c r="E21" i="111"/>
  <c r="E13" i="111"/>
  <c r="E12" i="111"/>
  <c r="E11" i="111"/>
  <c r="E10" i="111"/>
  <c r="E59" i="105"/>
  <c r="E58" i="105"/>
  <c r="E57" i="105"/>
  <c r="E56" i="105"/>
  <c r="E55" i="105"/>
  <c r="E48" i="105"/>
  <c r="D48" i="105"/>
  <c r="E47" i="105"/>
  <c r="D47" i="105"/>
  <c r="E46" i="105"/>
  <c r="D46" i="105"/>
  <c r="E45" i="105"/>
  <c r="D45" i="105"/>
  <c r="E44" i="105"/>
  <c r="D44" i="105"/>
  <c r="E43" i="105"/>
  <c r="D43" i="105"/>
  <c r="E36" i="105"/>
  <c r="D36" i="105"/>
  <c r="E35" i="105"/>
  <c r="D35" i="105"/>
  <c r="E34" i="105"/>
  <c r="D34" i="105"/>
  <c r="E33" i="105"/>
  <c r="D33" i="105"/>
  <c r="E32" i="105"/>
  <c r="D32" i="105"/>
  <c r="E31" i="105"/>
  <c r="D31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2" i="105"/>
  <c r="D12" i="105"/>
  <c r="E11" i="105"/>
  <c r="D11" i="105"/>
  <c r="E10" i="105"/>
  <c r="D10" i="105"/>
  <c r="E9" i="105"/>
  <c r="D9" i="105"/>
  <c r="G65" i="22"/>
  <c r="G64" i="22"/>
  <c r="G63" i="22"/>
  <c r="G62" i="22"/>
  <c r="G52" i="22"/>
  <c r="G51" i="22"/>
  <c r="G50" i="22"/>
  <c r="G49" i="22"/>
  <c r="G48" i="22"/>
  <c r="G46" i="22"/>
  <c r="G45" i="22"/>
  <c r="G44" i="22"/>
  <c r="G43" i="22"/>
  <c r="G42" i="22"/>
  <c r="F52" i="22"/>
  <c r="F51" i="22"/>
  <c r="F50" i="22"/>
  <c r="F49" i="22"/>
  <c r="F48" i="22"/>
  <c r="G67" i="18"/>
  <c r="F67" i="18"/>
  <c r="C40" i="54"/>
  <c r="F74" i="12"/>
  <c r="F59" i="20"/>
  <c r="F58" i="20"/>
  <c r="F65" i="20"/>
  <c r="F64" i="20"/>
  <c r="F39" i="18"/>
  <c r="G39" i="18"/>
  <c r="F45" i="14"/>
  <c r="F44" i="14"/>
  <c r="G45" i="14"/>
  <c r="G44" i="14"/>
  <c r="F46" i="14"/>
  <c r="G46" i="14"/>
  <c r="F47" i="14"/>
  <c r="G47" i="14"/>
  <c r="F48" i="14"/>
  <c r="G48" i="14"/>
  <c r="F49" i="14"/>
  <c r="G49" i="14"/>
  <c r="F50" i="14"/>
  <c r="G50" i="14"/>
  <c r="F51" i="14"/>
  <c r="G51" i="14"/>
  <c r="F52" i="14"/>
  <c r="G52" i="14"/>
  <c r="G43" i="14"/>
  <c r="F43" i="14"/>
  <c r="A3" i="99"/>
  <c r="F3" i="99"/>
  <c r="H3" i="99"/>
  <c r="A4" i="99"/>
  <c r="F4" i="99"/>
  <c r="H4" i="99"/>
  <c r="A5" i="99"/>
  <c r="F5" i="99"/>
  <c r="H5" i="99"/>
  <c r="A6" i="99"/>
  <c r="F6" i="99"/>
  <c r="H6" i="99"/>
  <c r="A7" i="99"/>
  <c r="F7" i="99"/>
  <c r="H7" i="99"/>
  <c r="A8" i="99"/>
  <c r="F8" i="99"/>
  <c r="H8" i="99"/>
  <c r="A9" i="99"/>
  <c r="F9" i="99"/>
  <c r="H9" i="99"/>
  <c r="A10" i="99"/>
  <c r="F10" i="99"/>
  <c r="H10" i="99"/>
  <c r="A11" i="99"/>
  <c r="F11" i="99"/>
  <c r="H11" i="99"/>
  <c r="A12" i="99"/>
  <c r="F12" i="99"/>
  <c r="H12" i="99"/>
  <c r="A13" i="99"/>
  <c r="F13" i="99"/>
  <c r="H13" i="99"/>
  <c r="A14" i="99"/>
  <c r="F14" i="99"/>
  <c r="H14" i="99"/>
  <c r="A15" i="99"/>
  <c r="F15" i="99"/>
  <c r="H15" i="99"/>
  <c r="A16" i="99"/>
  <c r="E16" i="99"/>
  <c r="F16" i="99"/>
  <c r="H16" i="99"/>
  <c r="A17" i="99"/>
  <c r="E17" i="99"/>
  <c r="F17" i="99"/>
  <c r="H17" i="99"/>
  <c r="A18" i="99"/>
  <c r="E18" i="99"/>
  <c r="F18" i="99"/>
  <c r="H18" i="99"/>
  <c r="A19" i="99"/>
  <c r="E19" i="99"/>
  <c r="F19" i="99"/>
  <c r="H19" i="99"/>
  <c r="A20" i="99"/>
  <c r="E20" i="99"/>
  <c r="F20" i="99"/>
  <c r="H20" i="99"/>
  <c r="A21" i="99"/>
  <c r="E21" i="99"/>
  <c r="F21" i="99"/>
  <c r="H21" i="99"/>
  <c r="A22" i="99"/>
  <c r="E22" i="99"/>
  <c r="F22" i="99"/>
  <c r="H22" i="99"/>
  <c r="A23" i="99"/>
  <c r="E23" i="99"/>
  <c r="F23" i="99"/>
  <c r="H23" i="99"/>
  <c r="A24" i="99"/>
  <c r="E24" i="99"/>
  <c r="F24" i="99"/>
  <c r="H24" i="99"/>
  <c r="A25" i="99"/>
  <c r="E25" i="99"/>
  <c r="F25" i="99"/>
  <c r="H25" i="99"/>
  <c r="A26" i="99"/>
  <c r="E26" i="99"/>
  <c r="F26" i="99"/>
  <c r="H26" i="99"/>
  <c r="A27" i="99"/>
  <c r="E27" i="99"/>
  <c r="F27" i="99"/>
  <c r="H27" i="99"/>
  <c r="A28" i="99"/>
  <c r="E28" i="99"/>
  <c r="F28" i="99"/>
  <c r="H28" i="99"/>
  <c r="A29" i="99"/>
  <c r="E29" i="99"/>
  <c r="F29" i="99"/>
  <c r="H29" i="99"/>
  <c r="A30" i="99"/>
  <c r="E30" i="99"/>
  <c r="F30" i="99"/>
  <c r="H30" i="99"/>
  <c r="A31" i="99"/>
  <c r="E31" i="99"/>
  <c r="F31" i="99"/>
  <c r="H31" i="99"/>
  <c r="A32" i="99"/>
  <c r="E32" i="99"/>
  <c r="F32" i="99"/>
  <c r="H32" i="99"/>
  <c r="A33" i="99"/>
  <c r="E33" i="99"/>
  <c r="F33" i="99"/>
  <c r="H33" i="99"/>
  <c r="A34" i="99"/>
  <c r="E34" i="99"/>
  <c r="F34" i="99"/>
  <c r="H34" i="99"/>
  <c r="A35" i="99"/>
  <c r="E35" i="99"/>
  <c r="F35" i="99"/>
  <c r="H35" i="99"/>
  <c r="A36" i="99"/>
  <c r="E36" i="99"/>
  <c r="F36" i="99"/>
  <c r="H36" i="99"/>
  <c r="A37" i="99"/>
  <c r="E37" i="99"/>
  <c r="F37" i="99"/>
  <c r="H37" i="99"/>
  <c r="A38" i="99"/>
  <c r="E38" i="99"/>
  <c r="F38" i="99"/>
  <c r="H38" i="99"/>
  <c r="A39" i="99"/>
  <c r="E39" i="99"/>
  <c r="F39" i="99"/>
  <c r="H39" i="99"/>
  <c r="A40" i="99"/>
  <c r="E40" i="99"/>
  <c r="F40" i="99"/>
  <c r="H40" i="99"/>
  <c r="A41" i="99"/>
  <c r="E41" i="99"/>
  <c r="F41" i="99"/>
  <c r="H41" i="99"/>
  <c r="A42" i="99"/>
  <c r="E42" i="99"/>
  <c r="F42" i="99"/>
  <c r="H42" i="99"/>
  <c r="A43" i="99"/>
  <c r="E43" i="99"/>
  <c r="F43" i="99"/>
  <c r="H43" i="99"/>
  <c r="A44" i="99"/>
  <c r="E44" i="99"/>
  <c r="F44" i="99"/>
  <c r="H44" i="99"/>
  <c r="A45" i="99"/>
  <c r="E45" i="99"/>
  <c r="F45" i="99"/>
  <c r="H45" i="99"/>
  <c r="A46" i="99"/>
  <c r="E46" i="99"/>
  <c r="F46" i="99"/>
  <c r="H46" i="99"/>
  <c r="A47" i="99"/>
  <c r="E47" i="99"/>
  <c r="F47" i="99"/>
  <c r="H47" i="99"/>
  <c r="A48" i="99"/>
  <c r="E48" i="99"/>
  <c r="F48" i="99"/>
  <c r="H48" i="99"/>
  <c r="A49" i="99"/>
  <c r="E49" i="99"/>
  <c r="F49" i="99"/>
  <c r="H49" i="99"/>
  <c r="A50" i="99"/>
  <c r="E50" i="99"/>
  <c r="F50" i="99"/>
  <c r="H50" i="99"/>
  <c r="A51" i="99"/>
  <c r="E51" i="99"/>
  <c r="F51" i="99"/>
  <c r="H51" i="99"/>
  <c r="A52" i="99"/>
  <c r="E52" i="99"/>
  <c r="F52" i="99"/>
  <c r="H52" i="99"/>
  <c r="A53" i="99"/>
  <c r="E53" i="99"/>
  <c r="F53" i="99"/>
  <c r="H53" i="99"/>
  <c r="A54" i="99"/>
  <c r="E54" i="99"/>
  <c r="F54" i="99"/>
  <c r="H54" i="99"/>
  <c r="A55" i="99"/>
  <c r="E55" i="99"/>
  <c r="F55" i="99"/>
  <c r="H55" i="99"/>
  <c r="A56" i="99"/>
  <c r="E56" i="99"/>
  <c r="F56" i="99"/>
  <c r="H56" i="99"/>
  <c r="A57" i="99"/>
  <c r="E57" i="99"/>
  <c r="F57" i="99"/>
  <c r="H57" i="99"/>
  <c r="A58" i="99"/>
  <c r="E58" i="99"/>
  <c r="F58" i="99"/>
  <c r="H58" i="99"/>
  <c r="A59" i="99"/>
  <c r="E59" i="99"/>
  <c r="F59" i="99"/>
  <c r="H59" i="99"/>
  <c r="A60" i="99"/>
  <c r="E60" i="99"/>
  <c r="F60" i="99"/>
  <c r="H60" i="99"/>
  <c r="A61" i="99"/>
  <c r="E61" i="99"/>
  <c r="F61" i="99"/>
  <c r="H61" i="99"/>
  <c r="A62" i="99"/>
  <c r="E62" i="99"/>
  <c r="F62" i="99"/>
  <c r="H62" i="99"/>
  <c r="A63" i="99"/>
  <c r="E63" i="99"/>
  <c r="F63" i="99"/>
  <c r="H63" i="99"/>
  <c r="A64" i="99"/>
  <c r="E64" i="99"/>
  <c r="F64" i="99"/>
  <c r="H64" i="99"/>
  <c r="A65" i="99"/>
  <c r="E65" i="99"/>
  <c r="F65" i="99"/>
  <c r="H65" i="99"/>
  <c r="A66" i="99"/>
  <c r="E66" i="99"/>
  <c r="F66" i="99"/>
  <c r="H66" i="99"/>
  <c r="A67" i="99"/>
  <c r="E67" i="99"/>
  <c r="F67" i="99"/>
  <c r="H67" i="99"/>
  <c r="A68" i="99"/>
  <c r="E68" i="99"/>
  <c r="F68" i="99"/>
  <c r="H68" i="99"/>
  <c r="A69" i="99"/>
  <c r="E69" i="99"/>
  <c r="F69" i="99"/>
  <c r="H69" i="99"/>
  <c r="A70" i="99"/>
  <c r="E70" i="99"/>
  <c r="F70" i="99"/>
  <c r="H70" i="99"/>
  <c r="A71" i="99"/>
  <c r="E71" i="99"/>
  <c r="F71" i="99"/>
  <c r="H71" i="99"/>
  <c r="A72" i="99"/>
  <c r="E72" i="99"/>
  <c r="F72" i="99"/>
  <c r="H72" i="99"/>
  <c r="A73" i="99"/>
  <c r="E73" i="99"/>
  <c r="F73" i="99"/>
  <c r="H73" i="99"/>
  <c r="A74" i="99"/>
  <c r="E74" i="99"/>
  <c r="F74" i="99"/>
  <c r="H74" i="99"/>
  <c r="A75" i="99"/>
  <c r="E75" i="99"/>
  <c r="F75" i="99"/>
  <c r="H75" i="99"/>
  <c r="A76" i="99"/>
  <c r="E76" i="99"/>
  <c r="F76" i="99"/>
  <c r="H76" i="99"/>
  <c r="A77" i="99"/>
  <c r="E77" i="99"/>
  <c r="F77" i="99"/>
  <c r="H77" i="99"/>
  <c r="A78" i="99"/>
  <c r="E78" i="99"/>
  <c r="F78" i="99"/>
  <c r="H78" i="99"/>
  <c r="A79" i="99"/>
  <c r="E79" i="99"/>
  <c r="F79" i="99"/>
  <c r="H79" i="99"/>
  <c r="A80" i="99"/>
  <c r="E80" i="99"/>
  <c r="F80" i="99"/>
  <c r="H80" i="99"/>
  <c r="A81" i="99"/>
  <c r="E81" i="99"/>
  <c r="F81" i="99"/>
  <c r="H81" i="99"/>
  <c r="A82" i="99"/>
  <c r="E82" i="99"/>
  <c r="F82" i="99"/>
  <c r="H82" i="99"/>
  <c r="A83" i="99"/>
  <c r="E83" i="99"/>
  <c r="F83" i="99"/>
  <c r="H83" i="99"/>
  <c r="A84" i="99"/>
  <c r="E84" i="99"/>
  <c r="F84" i="99"/>
  <c r="H84" i="99"/>
  <c r="A85" i="99"/>
  <c r="E85" i="99"/>
  <c r="F85" i="99"/>
  <c r="H85" i="99"/>
  <c r="A86" i="99"/>
  <c r="E86" i="99"/>
  <c r="F86" i="99"/>
  <c r="H86" i="99"/>
  <c r="A87" i="99"/>
  <c r="E87" i="99"/>
  <c r="F87" i="99"/>
  <c r="H87" i="99"/>
  <c r="A88" i="99"/>
  <c r="E88" i="99"/>
  <c r="F88" i="99"/>
  <c r="H88" i="99"/>
  <c r="A89" i="99"/>
  <c r="E89" i="99"/>
  <c r="F89" i="99"/>
  <c r="H89" i="99"/>
  <c r="A90" i="99"/>
  <c r="E90" i="99"/>
  <c r="F90" i="99"/>
  <c r="H90" i="99"/>
  <c r="A91" i="99"/>
  <c r="E91" i="99"/>
  <c r="F91" i="99"/>
  <c r="H91" i="99"/>
  <c r="A92" i="99"/>
  <c r="E92" i="99"/>
  <c r="F92" i="99"/>
  <c r="H92" i="99"/>
  <c r="A93" i="99"/>
  <c r="E93" i="99"/>
  <c r="F93" i="99"/>
  <c r="H93" i="99"/>
  <c r="A94" i="99"/>
  <c r="E94" i="99"/>
  <c r="F94" i="99"/>
  <c r="H94" i="99"/>
  <c r="A95" i="99"/>
  <c r="E95" i="99"/>
  <c r="F95" i="99"/>
  <c r="H95" i="99"/>
  <c r="A96" i="99"/>
  <c r="E96" i="99"/>
  <c r="F96" i="99"/>
  <c r="H96" i="99"/>
  <c r="A97" i="99"/>
  <c r="E97" i="99"/>
  <c r="F97" i="99"/>
  <c r="H97" i="99"/>
  <c r="A98" i="99"/>
  <c r="E98" i="99"/>
  <c r="F98" i="99"/>
  <c r="H98" i="99"/>
  <c r="A99" i="99"/>
  <c r="E99" i="99"/>
  <c r="F99" i="99"/>
  <c r="H99" i="99"/>
  <c r="A100" i="99"/>
  <c r="E100" i="99"/>
  <c r="F100" i="99"/>
  <c r="H100" i="99"/>
  <c r="A101" i="99"/>
  <c r="E101" i="99"/>
  <c r="F101" i="99"/>
  <c r="H101" i="99"/>
  <c r="A102" i="99"/>
  <c r="E102" i="99"/>
  <c r="F102" i="99"/>
  <c r="H102" i="99"/>
  <c r="A103" i="99"/>
  <c r="E103" i="99"/>
  <c r="F103" i="99"/>
  <c r="H103" i="99"/>
  <c r="A104" i="99"/>
  <c r="E104" i="99"/>
  <c r="F104" i="99"/>
  <c r="H104" i="99"/>
  <c r="A105" i="99"/>
  <c r="E105" i="99"/>
  <c r="F105" i="99"/>
  <c r="H105" i="99"/>
  <c r="A106" i="99"/>
  <c r="E106" i="99"/>
  <c r="F106" i="99"/>
  <c r="H106" i="99"/>
  <c r="A107" i="99"/>
  <c r="E107" i="99"/>
  <c r="F107" i="99"/>
  <c r="H107" i="99"/>
  <c r="A108" i="99"/>
  <c r="E108" i="99"/>
  <c r="F108" i="99"/>
  <c r="H108" i="99"/>
  <c r="A109" i="99"/>
  <c r="E109" i="99"/>
  <c r="F109" i="99"/>
  <c r="H109" i="99"/>
  <c r="A110" i="99"/>
  <c r="E110" i="99"/>
  <c r="F110" i="99"/>
  <c r="H110" i="99"/>
  <c r="A111" i="99"/>
  <c r="E111" i="99"/>
  <c r="F111" i="99"/>
  <c r="H111" i="99"/>
  <c r="A112" i="99"/>
  <c r="E112" i="99"/>
  <c r="F112" i="99"/>
  <c r="H112" i="99"/>
  <c r="A113" i="99"/>
  <c r="E113" i="99"/>
  <c r="F113" i="99"/>
  <c r="H113" i="99"/>
  <c r="A114" i="99"/>
  <c r="E114" i="99"/>
  <c r="F114" i="99"/>
  <c r="H114" i="99"/>
  <c r="A115" i="99"/>
  <c r="E115" i="99"/>
  <c r="F115" i="99"/>
  <c r="H115" i="99"/>
  <c r="A116" i="99"/>
  <c r="E116" i="99"/>
  <c r="F116" i="99"/>
  <c r="H116" i="99"/>
  <c r="A117" i="99"/>
  <c r="E117" i="99"/>
  <c r="F117" i="99"/>
  <c r="H117" i="99"/>
  <c r="A118" i="99"/>
  <c r="E118" i="99"/>
  <c r="F118" i="99"/>
  <c r="H118" i="99"/>
  <c r="A119" i="99"/>
  <c r="E119" i="99"/>
  <c r="F119" i="99"/>
  <c r="H119" i="99"/>
  <c r="A120" i="99"/>
  <c r="E120" i="99"/>
  <c r="F120" i="99"/>
  <c r="H120" i="99"/>
  <c r="A121" i="99"/>
  <c r="E121" i="99"/>
  <c r="F121" i="99"/>
  <c r="H121" i="99"/>
  <c r="A122" i="99"/>
  <c r="E122" i="99"/>
  <c r="F122" i="99"/>
  <c r="H122" i="99"/>
  <c r="A123" i="99"/>
  <c r="E123" i="99"/>
  <c r="F123" i="99"/>
  <c r="H123" i="99"/>
  <c r="A124" i="99"/>
  <c r="E124" i="99"/>
  <c r="F124" i="99"/>
  <c r="H124" i="99"/>
  <c r="A125" i="99"/>
  <c r="E125" i="99"/>
  <c r="F125" i="99"/>
  <c r="H125" i="99"/>
  <c r="A126" i="99"/>
  <c r="E126" i="99"/>
  <c r="F126" i="99"/>
  <c r="H126" i="99"/>
  <c r="A127" i="99"/>
  <c r="E127" i="99"/>
  <c r="F127" i="99"/>
  <c r="H127" i="99"/>
  <c r="A128" i="99"/>
  <c r="E128" i="99"/>
  <c r="F128" i="99"/>
  <c r="H128" i="99"/>
  <c r="A129" i="99"/>
  <c r="E129" i="99"/>
  <c r="F129" i="99"/>
  <c r="H129" i="99"/>
  <c r="A130" i="99"/>
  <c r="E130" i="99"/>
  <c r="F130" i="99"/>
  <c r="H130" i="99"/>
  <c r="A131" i="99"/>
  <c r="E131" i="99"/>
  <c r="F131" i="99"/>
  <c r="H131" i="99"/>
  <c r="A132" i="99"/>
  <c r="E132" i="99"/>
  <c r="F132" i="99"/>
  <c r="H132" i="99"/>
  <c r="A133" i="99"/>
  <c r="E133" i="99"/>
  <c r="F133" i="99"/>
  <c r="H133" i="99"/>
  <c r="A134" i="99"/>
  <c r="E134" i="99"/>
  <c r="F134" i="99"/>
  <c r="H134" i="99"/>
  <c r="A135" i="99"/>
  <c r="E135" i="99"/>
  <c r="F135" i="99"/>
  <c r="H135" i="99"/>
  <c r="A136" i="99"/>
  <c r="E136" i="99"/>
  <c r="F136" i="99"/>
  <c r="H136" i="99"/>
  <c r="A137" i="99"/>
  <c r="E137" i="99"/>
  <c r="F137" i="99"/>
  <c r="H137" i="99"/>
  <c r="A138" i="99"/>
  <c r="E138" i="99"/>
  <c r="F138" i="99"/>
  <c r="H138" i="99"/>
  <c r="A139" i="99"/>
  <c r="E139" i="99"/>
  <c r="F139" i="99"/>
  <c r="H139" i="99"/>
  <c r="A140" i="99"/>
  <c r="E140" i="99"/>
  <c r="F140" i="99"/>
  <c r="H140" i="99"/>
  <c r="A141" i="99"/>
  <c r="E141" i="99"/>
  <c r="F141" i="99"/>
  <c r="H141" i="99"/>
  <c r="A142" i="99"/>
  <c r="E142" i="99"/>
  <c r="F142" i="99"/>
  <c r="H142" i="99"/>
  <c r="A143" i="99"/>
  <c r="E143" i="99"/>
  <c r="F143" i="99"/>
  <c r="H143" i="99"/>
  <c r="A144" i="99"/>
  <c r="E144" i="99"/>
  <c r="F144" i="99"/>
  <c r="H144" i="99"/>
  <c r="A145" i="99"/>
  <c r="E145" i="99"/>
  <c r="F145" i="99"/>
  <c r="H145" i="99"/>
  <c r="A146" i="99"/>
  <c r="E146" i="99"/>
  <c r="F146" i="99"/>
  <c r="H146" i="99"/>
  <c r="A147" i="99"/>
  <c r="E147" i="99"/>
  <c r="F147" i="99"/>
  <c r="H147" i="99"/>
  <c r="A148" i="99"/>
  <c r="E148" i="99"/>
  <c r="F148" i="99"/>
  <c r="H148" i="99"/>
  <c r="A149" i="99"/>
  <c r="E149" i="99"/>
  <c r="F149" i="99"/>
  <c r="H149" i="99"/>
  <c r="A150" i="99"/>
  <c r="E150" i="99"/>
  <c r="F150" i="99"/>
  <c r="H150" i="99"/>
  <c r="A151" i="99"/>
  <c r="E151" i="99"/>
  <c r="F151" i="99"/>
  <c r="H151" i="99"/>
  <c r="A152" i="99"/>
  <c r="E152" i="99"/>
  <c r="F152" i="99"/>
  <c r="H152" i="99"/>
  <c r="A153" i="99"/>
  <c r="E153" i="99"/>
  <c r="F153" i="99"/>
  <c r="H153" i="99"/>
  <c r="A154" i="99"/>
  <c r="E154" i="99"/>
  <c r="F154" i="99"/>
  <c r="H154" i="99"/>
  <c r="A155" i="99"/>
  <c r="E155" i="99"/>
  <c r="F155" i="99"/>
  <c r="H155" i="99"/>
  <c r="A156" i="99"/>
  <c r="E156" i="99"/>
  <c r="F156" i="99"/>
  <c r="H156" i="99"/>
  <c r="A157" i="99"/>
  <c r="E157" i="99"/>
  <c r="F157" i="99"/>
  <c r="H157" i="99"/>
  <c r="A158" i="99"/>
  <c r="E158" i="99"/>
  <c r="F158" i="99"/>
  <c r="H158" i="99"/>
  <c r="A159" i="99"/>
  <c r="E159" i="99"/>
  <c r="F159" i="99"/>
  <c r="H159" i="99"/>
  <c r="A160" i="99"/>
  <c r="E160" i="99"/>
  <c r="F160" i="99"/>
  <c r="H160" i="99"/>
  <c r="A161" i="99"/>
  <c r="E161" i="99"/>
  <c r="F161" i="99"/>
  <c r="H161" i="99"/>
  <c r="A162" i="99"/>
  <c r="E162" i="99"/>
  <c r="F162" i="99"/>
  <c r="H162" i="99"/>
  <c r="A163" i="99"/>
  <c r="E163" i="99"/>
  <c r="F163" i="99"/>
  <c r="H163" i="99"/>
  <c r="A164" i="99"/>
  <c r="E164" i="99"/>
  <c r="F164" i="99"/>
  <c r="H164" i="99"/>
  <c r="A165" i="99"/>
  <c r="E165" i="99"/>
  <c r="F165" i="99"/>
  <c r="H165" i="99"/>
  <c r="A166" i="99"/>
  <c r="E166" i="99"/>
  <c r="F166" i="99"/>
  <c r="H166" i="99"/>
  <c r="A167" i="99"/>
  <c r="E167" i="99"/>
  <c r="F167" i="99"/>
  <c r="H167" i="99"/>
  <c r="A168" i="99"/>
  <c r="E168" i="99"/>
  <c r="F168" i="99"/>
  <c r="H168" i="99"/>
  <c r="A169" i="99"/>
  <c r="E169" i="99"/>
  <c r="F169" i="99"/>
  <c r="H169" i="99"/>
  <c r="A170" i="99"/>
  <c r="E170" i="99"/>
  <c r="F170" i="99"/>
  <c r="H170" i="99"/>
  <c r="A171" i="99"/>
  <c r="E171" i="99"/>
  <c r="F171" i="99"/>
  <c r="H171" i="99"/>
  <c r="A172" i="99"/>
  <c r="E172" i="99"/>
  <c r="F172" i="99"/>
  <c r="H172" i="99"/>
  <c r="A173" i="99"/>
  <c r="E173" i="99"/>
  <c r="F173" i="99"/>
  <c r="H173" i="99"/>
  <c r="A174" i="99"/>
  <c r="E174" i="99"/>
  <c r="F174" i="99"/>
  <c r="H174" i="99"/>
  <c r="A175" i="99"/>
  <c r="E175" i="99"/>
  <c r="F175" i="99"/>
  <c r="H175" i="99"/>
  <c r="A176" i="99"/>
  <c r="E176" i="99"/>
  <c r="F176" i="99"/>
  <c r="H176" i="99"/>
  <c r="A177" i="99"/>
  <c r="E177" i="99"/>
  <c r="F177" i="99"/>
  <c r="H177" i="99"/>
  <c r="A178" i="99"/>
  <c r="E178" i="99"/>
  <c r="F178" i="99"/>
  <c r="H178" i="99"/>
  <c r="A179" i="99"/>
  <c r="E179" i="99"/>
  <c r="F179" i="99"/>
  <c r="H179" i="99"/>
  <c r="A180" i="99"/>
  <c r="E180" i="99"/>
  <c r="F180" i="99"/>
  <c r="H180" i="99"/>
  <c r="A181" i="99"/>
  <c r="E181" i="99"/>
  <c r="F181" i="99"/>
  <c r="H181" i="99"/>
  <c r="A182" i="99"/>
  <c r="E182" i="99"/>
  <c r="F182" i="99"/>
  <c r="H182" i="99"/>
  <c r="A183" i="99"/>
  <c r="E183" i="99"/>
  <c r="F183" i="99"/>
  <c r="H183" i="99"/>
  <c r="A184" i="99"/>
  <c r="E184" i="99"/>
  <c r="F184" i="99"/>
  <c r="H184" i="99"/>
  <c r="A185" i="99"/>
  <c r="E185" i="99"/>
  <c r="F185" i="99"/>
  <c r="H185" i="99"/>
  <c r="A186" i="99"/>
  <c r="E186" i="99"/>
  <c r="F186" i="99"/>
  <c r="H186" i="99"/>
  <c r="A187" i="99"/>
  <c r="E187" i="99"/>
  <c r="F187" i="99"/>
  <c r="H187" i="99"/>
  <c r="A188" i="99"/>
  <c r="E188" i="99"/>
  <c r="F188" i="99"/>
  <c r="H188" i="99"/>
  <c r="A189" i="99"/>
  <c r="E189" i="99"/>
  <c r="F189" i="99"/>
  <c r="H189" i="99"/>
  <c r="A190" i="99"/>
  <c r="E190" i="99"/>
  <c r="F190" i="99"/>
  <c r="H190" i="99"/>
  <c r="A191" i="99"/>
  <c r="E191" i="99"/>
  <c r="F191" i="99"/>
  <c r="H191" i="99"/>
  <c r="A192" i="99"/>
  <c r="E192" i="99"/>
  <c r="F192" i="99"/>
  <c r="H192" i="99"/>
  <c r="A193" i="99"/>
  <c r="E193" i="99"/>
  <c r="F193" i="99"/>
  <c r="H193" i="99"/>
  <c r="A194" i="99"/>
  <c r="E194" i="99"/>
  <c r="F194" i="99"/>
  <c r="H194" i="99"/>
  <c r="A195" i="99"/>
  <c r="E195" i="99"/>
  <c r="F195" i="99"/>
  <c r="H195" i="99"/>
  <c r="A196" i="99"/>
  <c r="E196" i="99"/>
  <c r="F196" i="99"/>
  <c r="H196" i="99"/>
  <c r="A197" i="99"/>
  <c r="E197" i="99"/>
  <c r="F197" i="99"/>
  <c r="H197" i="99"/>
  <c r="A198" i="99"/>
  <c r="E198" i="99"/>
  <c r="F198" i="99"/>
  <c r="H198" i="99"/>
  <c r="A199" i="99"/>
  <c r="E199" i="99"/>
  <c r="F199" i="99"/>
  <c r="H199" i="99"/>
  <c r="A200" i="99"/>
  <c r="E200" i="99"/>
  <c r="F200" i="99"/>
  <c r="H200" i="99"/>
  <c r="A201" i="99"/>
  <c r="E201" i="99"/>
  <c r="F201" i="99"/>
  <c r="H201" i="99"/>
  <c r="A202" i="99"/>
  <c r="E202" i="99"/>
  <c r="F202" i="99"/>
  <c r="H202" i="99"/>
  <c r="A203" i="99"/>
  <c r="E203" i="99"/>
  <c r="F203" i="99"/>
  <c r="H203" i="99"/>
  <c r="A204" i="99"/>
  <c r="E204" i="99"/>
  <c r="F204" i="99"/>
  <c r="H204" i="99"/>
  <c r="A205" i="99"/>
  <c r="E205" i="99"/>
  <c r="F205" i="99"/>
  <c r="H205" i="99"/>
  <c r="A206" i="99"/>
  <c r="E206" i="99"/>
  <c r="F206" i="99"/>
  <c r="H206" i="99"/>
  <c r="A207" i="99"/>
  <c r="E207" i="99"/>
  <c r="F207" i="99"/>
  <c r="H207" i="99"/>
  <c r="A208" i="99"/>
  <c r="E208" i="99"/>
  <c r="F208" i="99"/>
  <c r="H208" i="99"/>
  <c r="A209" i="99"/>
  <c r="E209" i="99"/>
  <c r="F209" i="99"/>
  <c r="H209" i="99"/>
  <c r="A210" i="99"/>
  <c r="E210" i="99"/>
  <c r="F210" i="99"/>
  <c r="H210" i="99"/>
  <c r="A211" i="99"/>
  <c r="E211" i="99"/>
  <c r="F211" i="99"/>
  <c r="H211" i="99"/>
  <c r="A212" i="99"/>
  <c r="E212" i="99"/>
  <c r="F212" i="99"/>
  <c r="H212" i="99"/>
  <c r="A213" i="99"/>
  <c r="E213" i="99"/>
  <c r="F213" i="99"/>
  <c r="H213" i="99"/>
  <c r="A214" i="99"/>
  <c r="E214" i="99"/>
  <c r="F214" i="99"/>
  <c r="H214" i="99"/>
  <c r="A215" i="99"/>
  <c r="E215" i="99"/>
  <c r="F215" i="99"/>
  <c r="H215" i="99"/>
  <c r="A216" i="99"/>
  <c r="E216" i="99"/>
  <c r="F216" i="99"/>
  <c r="H216" i="99"/>
  <c r="A217" i="99"/>
  <c r="E217" i="99"/>
  <c r="F217" i="99"/>
  <c r="H217" i="99"/>
  <c r="A218" i="99"/>
  <c r="E218" i="99"/>
  <c r="F218" i="99"/>
  <c r="H218" i="99"/>
  <c r="A219" i="99"/>
  <c r="E219" i="99"/>
  <c r="F219" i="99"/>
  <c r="H219" i="99"/>
  <c r="A220" i="99"/>
  <c r="E220" i="99"/>
  <c r="F220" i="99"/>
  <c r="H220" i="99"/>
  <c r="A221" i="99"/>
  <c r="E221" i="99"/>
  <c r="F221" i="99"/>
  <c r="H221" i="99"/>
  <c r="A222" i="99"/>
  <c r="E222" i="99"/>
  <c r="F222" i="99"/>
  <c r="H222" i="99"/>
  <c r="A223" i="99"/>
  <c r="E223" i="99"/>
  <c r="F223" i="99"/>
  <c r="H223" i="99"/>
  <c r="A224" i="99"/>
  <c r="E224" i="99"/>
  <c r="F224" i="99"/>
  <c r="H224" i="99"/>
  <c r="A225" i="99"/>
  <c r="E225" i="99"/>
  <c r="F225" i="99"/>
  <c r="H225" i="99"/>
  <c r="A226" i="99"/>
  <c r="E226" i="99"/>
  <c r="F226" i="99"/>
  <c r="H226" i="99"/>
  <c r="A227" i="99"/>
  <c r="E227" i="99"/>
  <c r="F227" i="99"/>
  <c r="H227" i="99"/>
  <c r="A228" i="99"/>
  <c r="E228" i="99"/>
  <c r="F228" i="99"/>
  <c r="H228" i="99"/>
  <c r="A229" i="99"/>
  <c r="E229" i="99"/>
  <c r="F229" i="99"/>
  <c r="H229" i="99"/>
  <c r="A230" i="99"/>
  <c r="E230" i="99"/>
  <c r="F230" i="99"/>
  <c r="H230" i="99"/>
  <c r="A231" i="99"/>
  <c r="E231" i="99"/>
  <c r="F231" i="99"/>
  <c r="H231" i="99"/>
  <c r="A232" i="99"/>
  <c r="E232" i="99"/>
  <c r="F232" i="99"/>
  <c r="H232" i="99"/>
  <c r="A233" i="99"/>
  <c r="E233" i="99"/>
  <c r="F233" i="99"/>
  <c r="H233" i="99"/>
  <c r="A234" i="99"/>
  <c r="E234" i="99"/>
  <c r="F234" i="99"/>
  <c r="H234" i="99"/>
  <c r="A235" i="99"/>
  <c r="D235" i="99"/>
  <c r="E235" i="99"/>
  <c r="F235" i="99"/>
  <c r="H235" i="99"/>
  <c r="A236" i="99"/>
  <c r="E236" i="99"/>
  <c r="F236" i="99"/>
  <c r="H236" i="99"/>
  <c r="A237" i="99"/>
  <c r="E237" i="99"/>
  <c r="F237" i="99"/>
  <c r="H237" i="99"/>
  <c r="A238" i="99"/>
  <c r="E238" i="99"/>
  <c r="F238" i="99"/>
  <c r="H238" i="99"/>
  <c r="A239" i="99"/>
  <c r="E239" i="99"/>
  <c r="F239" i="99"/>
  <c r="H239" i="99"/>
  <c r="A240" i="99"/>
  <c r="E240" i="99"/>
  <c r="F240" i="99"/>
  <c r="H240" i="99"/>
  <c r="A241" i="99"/>
  <c r="E241" i="99"/>
  <c r="F241" i="99"/>
  <c r="H241" i="99"/>
  <c r="A242" i="99"/>
  <c r="E242" i="99"/>
  <c r="F242" i="99"/>
  <c r="H242" i="99"/>
  <c r="A243" i="99"/>
  <c r="E243" i="99"/>
  <c r="F243" i="99"/>
  <c r="H243" i="99"/>
  <c r="A244" i="99"/>
  <c r="E244" i="99"/>
  <c r="F244" i="99"/>
  <c r="H244" i="99"/>
  <c r="A245" i="99"/>
  <c r="E245" i="99"/>
  <c r="F245" i="99"/>
  <c r="H245" i="99"/>
  <c r="A246" i="99"/>
  <c r="E246" i="99"/>
  <c r="F246" i="99"/>
  <c r="H246" i="99"/>
  <c r="A247" i="99"/>
  <c r="E247" i="99"/>
  <c r="F247" i="99"/>
  <c r="H247" i="99"/>
  <c r="A248" i="99"/>
  <c r="E248" i="99"/>
  <c r="F248" i="99"/>
  <c r="H248" i="99"/>
  <c r="A249" i="99"/>
  <c r="E249" i="99"/>
  <c r="F249" i="99"/>
  <c r="H249" i="99"/>
  <c r="A250" i="99"/>
  <c r="E250" i="99"/>
  <c r="F250" i="99"/>
  <c r="H250" i="99"/>
  <c r="A251" i="99"/>
  <c r="E251" i="99"/>
  <c r="F251" i="99"/>
  <c r="H251" i="99"/>
  <c r="A252" i="99"/>
  <c r="E252" i="99"/>
  <c r="F252" i="99"/>
  <c r="H252" i="99"/>
  <c r="A253" i="99"/>
  <c r="E253" i="99"/>
  <c r="F253" i="99"/>
  <c r="H253" i="99"/>
  <c r="A254" i="99"/>
  <c r="E254" i="99"/>
  <c r="F254" i="99"/>
  <c r="H254" i="99"/>
  <c r="A255" i="99"/>
  <c r="E255" i="99"/>
  <c r="F255" i="99"/>
  <c r="H255" i="99"/>
  <c r="A256" i="99"/>
  <c r="E256" i="99"/>
  <c r="F256" i="99"/>
  <c r="H256" i="99"/>
  <c r="A257" i="99"/>
  <c r="E257" i="99"/>
  <c r="F257" i="99"/>
  <c r="H257" i="99"/>
  <c r="A258" i="99"/>
  <c r="E258" i="99"/>
  <c r="F258" i="99"/>
  <c r="H258" i="99"/>
  <c r="A259" i="99"/>
  <c r="E259" i="99"/>
  <c r="F259" i="99"/>
  <c r="H259" i="99"/>
  <c r="A260" i="99"/>
  <c r="E260" i="99"/>
  <c r="F260" i="99"/>
  <c r="H260" i="99"/>
  <c r="A261" i="99"/>
  <c r="E261" i="99"/>
  <c r="F261" i="99"/>
  <c r="H261" i="99"/>
  <c r="A262" i="99"/>
  <c r="E262" i="99"/>
  <c r="F262" i="99"/>
  <c r="H262" i="99"/>
  <c r="A263" i="99"/>
  <c r="E263" i="99"/>
  <c r="F263" i="99"/>
  <c r="H263" i="99"/>
  <c r="A264" i="99"/>
  <c r="E264" i="99"/>
  <c r="F264" i="99"/>
  <c r="H264" i="99"/>
  <c r="A265" i="99"/>
  <c r="E265" i="99"/>
  <c r="F265" i="99"/>
  <c r="H265" i="99"/>
  <c r="A266" i="99"/>
  <c r="E266" i="99"/>
  <c r="F266" i="99"/>
  <c r="H266" i="99"/>
  <c r="A267" i="99"/>
  <c r="E267" i="99"/>
  <c r="F267" i="99"/>
  <c r="H267" i="99"/>
  <c r="A268" i="99"/>
  <c r="E268" i="99"/>
  <c r="F268" i="99"/>
  <c r="H268" i="99"/>
  <c r="A269" i="99"/>
  <c r="E269" i="99"/>
  <c r="F269" i="99"/>
  <c r="H269" i="99"/>
  <c r="A270" i="99"/>
  <c r="E270" i="99"/>
  <c r="F270" i="99"/>
  <c r="H270" i="99"/>
  <c r="A271" i="99"/>
  <c r="E271" i="99"/>
  <c r="F271" i="99"/>
  <c r="H271" i="99"/>
  <c r="A272" i="99"/>
  <c r="E272" i="99"/>
  <c r="F272" i="99"/>
  <c r="H272" i="99"/>
  <c r="A273" i="99"/>
  <c r="E273" i="99"/>
  <c r="F273" i="99"/>
  <c r="H273" i="99"/>
  <c r="A274" i="99"/>
  <c r="E274" i="99"/>
  <c r="F274" i="99"/>
  <c r="H274" i="99"/>
  <c r="A275" i="99"/>
  <c r="E275" i="99"/>
  <c r="F275" i="99"/>
  <c r="H275" i="99"/>
  <c r="A276" i="99"/>
  <c r="E276" i="99"/>
  <c r="F276" i="99"/>
  <c r="H276" i="99"/>
  <c r="A277" i="99"/>
  <c r="E277" i="99"/>
  <c r="F277" i="99"/>
  <c r="H277" i="99"/>
  <c r="A278" i="99"/>
  <c r="E278" i="99"/>
  <c r="F278" i="99"/>
  <c r="H278" i="99"/>
  <c r="A279" i="99"/>
  <c r="E279" i="99"/>
  <c r="F279" i="99"/>
  <c r="H279" i="99"/>
  <c r="A280" i="99"/>
  <c r="E280" i="99"/>
  <c r="F280" i="99"/>
  <c r="H280" i="99"/>
  <c r="A281" i="99"/>
  <c r="E281" i="99"/>
  <c r="F281" i="99"/>
  <c r="H281" i="99"/>
  <c r="A282" i="99"/>
  <c r="E282" i="99"/>
  <c r="F282" i="99"/>
  <c r="H282" i="99"/>
  <c r="A283" i="99"/>
  <c r="E283" i="99"/>
  <c r="F283" i="99"/>
  <c r="H283" i="99"/>
  <c r="A284" i="99"/>
  <c r="E284" i="99"/>
  <c r="F284" i="99"/>
  <c r="H284" i="99"/>
  <c r="A285" i="99"/>
  <c r="E285" i="99"/>
  <c r="F285" i="99"/>
  <c r="H285" i="99"/>
  <c r="A286" i="99"/>
  <c r="E286" i="99"/>
  <c r="F286" i="99"/>
  <c r="H286" i="99"/>
  <c r="A287" i="99"/>
  <c r="E287" i="99"/>
  <c r="F287" i="99"/>
  <c r="H287" i="99"/>
  <c r="A288" i="99"/>
  <c r="E288" i="99"/>
  <c r="F288" i="99"/>
  <c r="H288" i="99"/>
  <c r="A289" i="99"/>
  <c r="E289" i="99"/>
  <c r="F289" i="99"/>
  <c r="H289" i="99"/>
  <c r="A290" i="99"/>
  <c r="E290" i="99"/>
  <c r="F290" i="99"/>
  <c r="H290" i="99"/>
  <c r="A291" i="99"/>
  <c r="E291" i="99"/>
  <c r="F291" i="99"/>
  <c r="H291" i="99"/>
  <c r="A292" i="99"/>
  <c r="E292" i="99"/>
  <c r="F292" i="99"/>
  <c r="H292" i="99"/>
  <c r="A293" i="99"/>
  <c r="E293" i="99"/>
  <c r="F293" i="99"/>
  <c r="H293" i="99"/>
  <c r="A294" i="99"/>
  <c r="E294" i="99"/>
  <c r="F294" i="99"/>
  <c r="H294" i="99"/>
  <c r="A295" i="99"/>
  <c r="E295" i="99"/>
  <c r="F295" i="99"/>
  <c r="H295" i="99"/>
  <c r="A296" i="99"/>
  <c r="H296" i="99"/>
  <c r="A297" i="99"/>
  <c r="E297" i="99"/>
  <c r="F297" i="99"/>
  <c r="H297" i="99"/>
  <c r="A298" i="99"/>
  <c r="E298" i="99"/>
  <c r="F298" i="99"/>
  <c r="H298" i="99"/>
  <c r="A299" i="99"/>
  <c r="E299" i="99"/>
  <c r="F299" i="99"/>
  <c r="H299" i="99"/>
  <c r="A300" i="99"/>
  <c r="E300" i="99"/>
  <c r="F300" i="99"/>
  <c r="H300" i="99"/>
  <c r="A301" i="99"/>
  <c r="E301" i="99"/>
  <c r="F301" i="99"/>
  <c r="H301" i="99"/>
  <c r="A302" i="99"/>
  <c r="E302" i="99"/>
  <c r="F302" i="99"/>
  <c r="H302" i="99"/>
  <c r="A303" i="99"/>
  <c r="E303" i="99"/>
  <c r="F303" i="99"/>
  <c r="H303" i="99"/>
  <c r="A304" i="99"/>
  <c r="E304" i="99"/>
  <c r="F304" i="99"/>
  <c r="H304" i="99"/>
  <c r="A305" i="99"/>
  <c r="E305" i="99"/>
  <c r="F305" i="99"/>
  <c r="H305" i="99"/>
  <c r="A306" i="99"/>
  <c r="E306" i="99"/>
  <c r="F306" i="99"/>
  <c r="H306" i="99"/>
  <c r="A307" i="99"/>
  <c r="E307" i="99"/>
  <c r="F307" i="99"/>
  <c r="H307" i="99"/>
  <c r="A308" i="99"/>
  <c r="E308" i="99"/>
  <c r="F308" i="99"/>
  <c r="H308" i="99"/>
  <c r="A309" i="99"/>
  <c r="E309" i="99"/>
  <c r="F309" i="99"/>
  <c r="H309" i="99"/>
  <c r="A310" i="99"/>
  <c r="E310" i="99"/>
  <c r="F310" i="99"/>
  <c r="H310" i="99"/>
  <c r="A311" i="99"/>
  <c r="E311" i="99"/>
  <c r="F311" i="99"/>
  <c r="H311" i="99"/>
  <c r="A312" i="99"/>
  <c r="E312" i="99"/>
  <c r="F312" i="99"/>
  <c r="H312" i="99"/>
  <c r="A313" i="99"/>
  <c r="E313" i="99"/>
  <c r="F313" i="99"/>
  <c r="H313" i="99"/>
  <c r="A314" i="99"/>
  <c r="E314" i="99"/>
  <c r="F314" i="99"/>
  <c r="H314" i="99"/>
  <c r="A315" i="99"/>
  <c r="E315" i="99"/>
  <c r="F315" i="99"/>
  <c r="H315" i="99"/>
  <c r="A316" i="99"/>
  <c r="E316" i="99"/>
  <c r="F316" i="99"/>
  <c r="H316" i="99"/>
  <c r="A317" i="99"/>
  <c r="E317" i="99"/>
  <c r="F317" i="99"/>
  <c r="H317" i="99"/>
  <c r="A318" i="99"/>
  <c r="E318" i="99"/>
  <c r="F318" i="99"/>
  <c r="H318" i="99"/>
  <c r="A319" i="99"/>
  <c r="E319" i="99"/>
  <c r="F319" i="99"/>
  <c r="H319" i="99"/>
  <c r="A320" i="99"/>
  <c r="E320" i="99"/>
  <c r="F320" i="99"/>
  <c r="H320" i="99"/>
  <c r="A321" i="99"/>
  <c r="E321" i="99"/>
  <c r="F321" i="99"/>
  <c r="H321" i="99"/>
  <c r="A322" i="99"/>
  <c r="E322" i="99"/>
  <c r="F322" i="99"/>
  <c r="H322" i="99"/>
  <c r="A323" i="99"/>
  <c r="E323" i="99"/>
  <c r="F323" i="99"/>
  <c r="H323" i="99"/>
  <c r="A324" i="99"/>
  <c r="E324" i="99"/>
  <c r="F324" i="99"/>
  <c r="H324" i="99"/>
  <c r="A325" i="99"/>
  <c r="E325" i="99"/>
  <c r="F325" i="99"/>
  <c r="H325" i="99"/>
  <c r="A326" i="99"/>
  <c r="E326" i="99"/>
  <c r="F326" i="99"/>
  <c r="H326" i="99"/>
  <c r="A327" i="99"/>
  <c r="E327" i="99"/>
  <c r="F327" i="99"/>
  <c r="H327" i="99"/>
  <c r="A328" i="99"/>
  <c r="E328" i="99"/>
  <c r="F328" i="99"/>
  <c r="H328" i="99"/>
  <c r="A329" i="99"/>
  <c r="E329" i="99"/>
  <c r="F329" i="99"/>
  <c r="H329" i="99"/>
  <c r="A330" i="99"/>
  <c r="E330" i="99"/>
  <c r="F330" i="99"/>
  <c r="H330" i="99"/>
  <c r="A331" i="99"/>
  <c r="E331" i="99"/>
  <c r="F331" i="99"/>
  <c r="H331" i="99"/>
  <c r="A332" i="99"/>
  <c r="E332" i="99"/>
  <c r="F332" i="99"/>
  <c r="H332" i="99"/>
  <c r="A333" i="99"/>
  <c r="E333" i="99"/>
  <c r="F333" i="99"/>
  <c r="H333" i="99"/>
  <c r="A334" i="99"/>
  <c r="E334" i="99"/>
  <c r="F334" i="99"/>
  <c r="H334" i="99"/>
  <c r="A335" i="99"/>
  <c r="E335" i="99"/>
  <c r="F335" i="99"/>
  <c r="H335" i="99"/>
  <c r="A336" i="99"/>
  <c r="E336" i="99"/>
  <c r="F336" i="99"/>
  <c r="H336" i="99"/>
  <c r="A337" i="99"/>
  <c r="E337" i="99"/>
  <c r="F337" i="99"/>
  <c r="H337" i="99"/>
  <c r="A338" i="99"/>
  <c r="E338" i="99"/>
  <c r="F338" i="99"/>
  <c r="H338" i="99"/>
  <c r="A339" i="99"/>
  <c r="E339" i="99"/>
  <c r="F339" i="99"/>
  <c r="H339" i="99"/>
  <c r="A340" i="99"/>
  <c r="E340" i="99"/>
  <c r="F340" i="99"/>
  <c r="H340" i="99"/>
  <c r="A341" i="99"/>
  <c r="E341" i="99"/>
  <c r="F341" i="99"/>
  <c r="H341" i="99"/>
  <c r="A342" i="99"/>
  <c r="E342" i="99"/>
  <c r="F342" i="99"/>
  <c r="H342" i="99"/>
  <c r="A343" i="99"/>
  <c r="E343" i="99"/>
  <c r="F343" i="99"/>
  <c r="H343" i="99"/>
  <c r="A344" i="99"/>
  <c r="E344" i="99"/>
  <c r="F344" i="99"/>
  <c r="H344" i="99"/>
  <c r="A345" i="99"/>
  <c r="E345" i="99"/>
  <c r="F345" i="99"/>
  <c r="H345" i="99"/>
  <c r="A346" i="99"/>
  <c r="E346" i="99"/>
  <c r="F346" i="99"/>
  <c r="H346" i="99"/>
  <c r="A347" i="99"/>
  <c r="E347" i="99"/>
  <c r="F347" i="99"/>
  <c r="H347" i="99"/>
  <c r="A348" i="99"/>
  <c r="E348" i="99"/>
  <c r="F348" i="99"/>
  <c r="H348" i="99"/>
  <c r="A349" i="99"/>
  <c r="E349" i="99"/>
  <c r="F349" i="99"/>
  <c r="H349" i="99"/>
  <c r="A350" i="99"/>
  <c r="E350" i="99"/>
  <c r="F350" i="99"/>
  <c r="H350" i="99"/>
  <c r="A351" i="99"/>
  <c r="E351" i="99"/>
  <c r="F351" i="99"/>
  <c r="H351" i="99"/>
  <c r="A352" i="99"/>
  <c r="E352" i="99"/>
  <c r="F352" i="99"/>
  <c r="H352" i="99"/>
  <c r="A353" i="99"/>
  <c r="E353" i="99"/>
  <c r="F353" i="99"/>
  <c r="H353" i="99"/>
  <c r="A354" i="99"/>
  <c r="E354" i="99"/>
  <c r="F354" i="99"/>
  <c r="H354" i="99"/>
  <c r="A355" i="99"/>
  <c r="E355" i="99"/>
  <c r="F355" i="99"/>
  <c r="H355" i="99"/>
  <c r="A356" i="99"/>
  <c r="E356" i="99"/>
  <c r="F356" i="99"/>
  <c r="H356" i="99"/>
  <c r="A357" i="99"/>
  <c r="E357" i="99"/>
  <c r="F357" i="99"/>
  <c r="H357" i="99"/>
  <c r="A358" i="99"/>
  <c r="E358" i="99"/>
  <c r="F358" i="99"/>
  <c r="H358" i="99"/>
  <c r="A359" i="99"/>
  <c r="E359" i="99"/>
  <c r="F359" i="99"/>
  <c r="H359" i="99"/>
  <c r="A360" i="99"/>
  <c r="E360" i="99"/>
  <c r="F360" i="99"/>
  <c r="H360" i="99"/>
  <c r="A361" i="99"/>
  <c r="E361" i="99"/>
  <c r="F361" i="99"/>
  <c r="H361" i="99"/>
  <c r="A362" i="99"/>
  <c r="E362" i="99"/>
  <c r="F362" i="99"/>
  <c r="H362" i="99"/>
  <c r="A363" i="99"/>
  <c r="E363" i="99"/>
  <c r="F363" i="99"/>
  <c r="H363" i="99"/>
  <c r="A364" i="99"/>
  <c r="E364" i="99"/>
  <c r="F364" i="99"/>
  <c r="H364" i="99"/>
  <c r="A365" i="99"/>
  <c r="E365" i="99"/>
  <c r="F365" i="99"/>
  <c r="H365" i="99"/>
  <c r="A366" i="99"/>
  <c r="E366" i="99"/>
  <c r="F366" i="99"/>
  <c r="H366" i="99"/>
  <c r="A367" i="99"/>
  <c r="E367" i="99"/>
  <c r="F367" i="99"/>
  <c r="H367" i="99"/>
  <c r="A368" i="99"/>
  <c r="E368" i="99"/>
  <c r="F368" i="99"/>
  <c r="H368" i="99"/>
  <c r="A369" i="99"/>
  <c r="E369" i="99"/>
  <c r="F369" i="99"/>
  <c r="H369" i="99"/>
  <c r="A370" i="99"/>
  <c r="E370" i="99"/>
  <c r="F370" i="99"/>
  <c r="H370" i="99"/>
  <c r="A371" i="99"/>
  <c r="E371" i="99"/>
  <c r="F371" i="99"/>
  <c r="H371" i="99"/>
  <c r="A372" i="99"/>
  <c r="E372" i="99"/>
  <c r="F372" i="99"/>
  <c r="H372" i="99"/>
  <c r="A373" i="99"/>
  <c r="E373" i="99"/>
  <c r="F373" i="99"/>
  <c r="H373" i="99"/>
  <c r="A374" i="99"/>
  <c r="E374" i="99"/>
  <c r="F374" i="99"/>
  <c r="H374" i="99"/>
  <c r="A375" i="99"/>
  <c r="E375" i="99"/>
  <c r="F375" i="99"/>
  <c r="H375" i="99"/>
  <c r="A376" i="99"/>
  <c r="E376" i="99"/>
  <c r="F376" i="99"/>
  <c r="H376" i="99"/>
  <c r="A377" i="99"/>
  <c r="E377" i="99"/>
  <c r="F377" i="99"/>
  <c r="H377" i="99"/>
  <c r="A378" i="99"/>
  <c r="E378" i="99"/>
  <c r="F378" i="99"/>
  <c r="H378" i="99"/>
  <c r="A379" i="99"/>
  <c r="E379" i="99"/>
  <c r="F379" i="99"/>
  <c r="H379" i="99"/>
  <c r="A380" i="99"/>
  <c r="E380" i="99"/>
  <c r="F380" i="99"/>
  <c r="H380" i="99"/>
  <c r="A381" i="99"/>
  <c r="E381" i="99"/>
  <c r="F381" i="99"/>
  <c r="H381" i="99"/>
  <c r="A382" i="99"/>
  <c r="E382" i="99"/>
  <c r="F382" i="99"/>
  <c r="H382" i="99"/>
  <c r="A383" i="99"/>
  <c r="E383" i="99"/>
  <c r="F383" i="99"/>
  <c r="H383" i="99"/>
  <c r="A384" i="99"/>
  <c r="E384" i="99"/>
  <c r="F384" i="99"/>
  <c r="H384" i="99"/>
  <c r="A385" i="99"/>
  <c r="E385" i="99"/>
  <c r="F385" i="99"/>
  <c r="H385" i="99"/>
  <c r="A386" i="99"/>
  <c r="E386" i="99"/>
  <c r="F386" i="99"/>
  <c r="H386" i="99"/>
  <c r="A387" i="99"/>
  <c r="E387" i="99"/>
  <c r="F387" i="99"/>
  <c r="H387" i="99"/>
  <c r="A388" i="99"/>
  <c r="E388" i="99"/>
  <c r="F388" i="99"/>
  <c r="H388" i="99"/>
  <c r="A389" i="99"/>
  <c r="E389" i="99"/>
  <c r="F389" i="99"/>
  <c r="H389" i="99"/>
  <c r="A390" i="99"/>
  <c r="E390" i="99"/>
  <c r="F390" i="99"/>
  <c r="H390" i="99"/>
  <c r="A391" i="99"/>
  <c r="E391" i="99"/>
  <c r="F391" i="99"/>
  <c r="H391" i="99"/>
  <c r="A392" i="99"/>
  <c r="E392" i="99"/>
  <c r="F392" i="99"/>
  <c r="H392" i="99"/>
  <c r="A393" i="99"/>
  <c r="E393" i="99"/>
  <c r="F393" i="99"/>
  <c r="H393" i="99"/>
  <c r="A394" i="99"/>
  <c r="E394" i="99"/>
  <c r="F394" i="99"/>
  <c r="H394" i="99"/>
  <c r="A395" i="99"/>
  <c r="E395" i="99"/>
  <c r="F395" i="99"/>
  <c r="H395" i="99"/>
  <c r="A396" i="99"/>
  <c r="E396" i="99"/>
  <c r="F396" i="99"/>
  <c r="H396" i="99"/>
  <c r="A397" i="99"/>
  <c r="E397" i="99"/>
  <c r="F397" i="99"/>
  <c r="H397" i="99"/>
  <c r="A398" i="99"/>
  <c r="E398" i="99"/>
  <c r="F398" i="99"/>
  <c r="H398" i="99"/>
  <c r="A399" i="99"/>
  <c r="E399" i="99"/>
  <c r="F399" i="99"/>
  <c r="H399" i="99"/>
  <c r="A400" i="99"/>
  <c r="E400" i="99"/>
  <c r="F400" i="99"/>
  <c r="H400" i="99"/>
  <c r="A401" i="99"/>
  <c r="E401" i="99"/>
  <c r="F401" i="99"/>
  <c r="H401" i="99"/>
  <c r="A402" i="99"/>
  <c r="E402" i="99"/>
  <c r="F402" i="99"/>
  <c r="H402" i="99"/>
  <c r="A403" i="99"/>
  <c r="E403" i="99"/>
  <c r="F403" i="99"/>
  <c r="H403" i="99"/>
  <c r="A404" i="99"/>
  <c r="E404" i="99"/>
  <c r="F404" i="99"/>
  <c r="H404" i="99"/>
  <c r="A405" i="99"/>
  <c r="E405" i="99"/>
  <c r="F405" i="99"/>
  <c r="H405" i="99"/>
  <c r="A406" i="99"/>
  <c r="E406" i="99"/>
  <c r="F406" i="99"/>
  <c r="H406" i="99"/>
  <c r="A407" i="99"/>
  <c r="E407" i="99"/>
  <c r="F407" i="99"/>
  <c r="H407" i="99"/>
  <c r="A408" i="99"/>
  <c r="E408" i="99"/>
  <c r="F408" i="99"/>
  <c r="H408" i="99"/>
  <c r="A409" i="99"/>
  <c r="E409" i="99"/>
  <c r="F409" i="99"/>
  <c r="H409" i="99"/>
  <c r="A410" i="99"/>
  <c r="E410" i="99"/>
  <c r="F410" i="99"/>
  <c r="H410" i="99"/>
  <c r="A411" i="99"/>
  <c r="E411" i="99"/>
  <c r="F411" i="99"/>
  <c r="H411" i="99"/>
  <c r="A412" i="99"/>
  <c r="E412" i="99"/>
  <c r="F412" i="99"/>
  <c r="H412" i="99"/>
  <c r="A413" i="99"/>
  <c r="E413" i="99"/>
  <c r="F413" i="99"/>
  <c r="H413" i="99"/>
  <c r="A414" i="99"/>
  <c r="E414" i="99"/>
  <c r="F414" i="99"/>
  <c r="H414" i="99"/>
  <c r="A415" i="99"/>
  <c r="E415" i="99"/>
  <c r="F415" i="99"/>
  <c r="H415" i="99"/>
  <c r="A416" i="99"/>
  <c r="E416" i="99"/>
  <c r="F416" i="99"/>
  <c r="H416" i="99"/>
  <c r="A417" i="99"/>
  <c r="E417" i="99"/>
  <c r="F417" i="99"/>
  <c r="H417" i="99"/>
  <c r="A418" i="99"/>
  <c r="E418" i="99"/>
  <c r="F418" i="99"/>
  <c r="H418" i="99"/>
  <c r="A419" i="99"/>
  <c r="E419" i="99"/>
  <c r="F419" i="99"/>
  <c r="H419" i="99"/>
  <c r="A420" i="99"/>
  <c r="E420" i="99"/>
  <c r="F420" i="99"/>
  <c r="H420" i="99"/>
  <c r="A421" i="99"/>
  <c r="E421" i="99"/>
  <c r="F421" i="99"/>
  <c r="H421" i="99"/>
  <c r="A422" i="99"/>
  <c r="E422" i="99"/>
  <c r="F422" i="99"/>
  <c r="H422" i="99"/>
  <c r="A423" i="99"/>
  <c r="E423" i="99"/>
  <c r="F423" i="99"/>
  <c r="H423" i="99"/>
  <c r="A424" i="99"/>
  <c r="E424" i="99"/>
  <c r="F424" i="99"/>
  <c r="H424" i="99"/>
  <c r="A425" i="99"/>
  <c r="E425" i="99"/>
  <c r="F425" i="99"/>
  <c r="H425" i="99"/>
  <c r="A426" i="99"/>
  <c r="E426" i="99"/>
  <c r="F426" i="99"/>
  <c r="H426" i="99"/>
  <c r="A427" i="99"/>
  <c r="E427" i="99"/>
  <c r="F427" i="99"/>
  <c r="H427" i="99"/>
  <c r="A428" i="99"/>
  <c r="E428" i="99"/>
  <c r="F428" i="99"/>
  <c r="H428" i="99"/>
  <c r="A429" i="99"/>
  <c r="E429" i="99"/>
  <c r="F429" i="99"/>
  <c r="H429" i="99"/>
  <c r="A430" i="99"/>
  <c r="E430" i="99"/>
  <c r="F430" i="99"/>
  <c r="H430" i="99"/>
  <c r="A431" i="99"/>
  <c r="E431" i="99"/>
  <c r="F431" i="99"/>
  <c r="H431" i="99"/>
  <c r="A432" i="99"/>
  <c r="E432" i="99"/>
  <c r="F432" i="99"/>
  <c r="H432" i="99"/>
  <c r="A433" i="99"/>
  <c r="E433" i="99"/>
  <c r="F433" i="99"/>
  <c r="H433" i="99"/>
  <c r="A434" i="99"/>
  <c r="E434" i="99"/>
  <c r="F434" i="99"/>
  <c r="H434" i="99"/>
  <c r="A435" i="99"/>
  <c r="E435" i="99"/>
  <c r="F435" i="99"/>
  <c r="H435" i="99"/>
  <c r="A436" i="99"/>
  <c r="E436" i="99"/>
  <c r="F436" i="99"/>
  <c r="H436" i="99"/>
  <c r="A437" i="99"/>
  <c r="E437" i="99"/>
  <c r="F437" i="99"/>
  <c r="H437" i="99"/>
  <c r="A438" i="99"/>
  <c r="E438" i="99"/>
  <c r="F438" i="99"/>
  <c r="H438" i="99"/>
  <c r="A439" i="99"/>
  <c r="E439" i="99"/>
  <c r="F439" i="99"/>
  <c r="H439" i="99"/>
  <c r="A440" i="99"/>
  <c r="E440" i="99"/>
  <c r="F440" i="99"/>
  <c r="H440" i="99"/>
  <c r="A441" i="99"/>
  <c r="E441" i="99"/>
  <c r="F441" i="99"/>
  <c r="H441" i="99"/>
  <c r="A442" i="99"/>
  <c r="E442" i="99"/>
  <c r="F442" i="99"/>
  <c r="H442" i="99"/>
  <c r="A443" i="99"/>
  <c r="E443" i="99"/>
  <c r="F443" i="99"/>
  <c r="H443" i="99"/>
  <c r="A444" i="99"/>
  <c r="E444" i="99"/>
  <c r="F444" i="99"/>
  <c r="H444" i="99"/>
  <c r="A445" i="99"/>
  <c r="E445" i="99"/>
  <c r="F445" i="99"/>
  <c r="H445" i="99"/>
  <c r="A446" i="99"/>
  <c r="E446" i="99"/>
  <c r="F446" i="99"/>
  <c r="H446" i="99"/>
  <c r="A447" i="99"/>
  <c r="E447" i="99"/>
  <c r="F447" i="99"/>
  <c r="H447" i="99"/>
  <c r="A448" i="99"/>
  <c r="E448" i="99"/>
  <c r="F448" i="99"/>
  <c r="H448" i="99"/>
  <c r="A449" i="99"/>
  <c r="E449" i="99"/>
  <c r="F449" i="99"/>
  <c r="H449" i="99"/>
  <c r="A450" i="99"/>
  <c r="E450" i="99"/>
  <c r="F450" i="99"/>
  <c r="H450" i="99"/>
  <c r="A451" i="99"/>
  <c r="E451" i="99"/>
  <c r="F451" i="99"/>
  <c r="H451" i="99"/>
  <c r="A452" i="99"/>
  <c r="E452" i="99"/>
  <c r="F452" i="99"/>
  <c r="H452" i="99"/>
  <c r="A453" i="99"/>
  <c r="E453" i="99"/>
  <c r="F453" i="99"/>
  <c r="H453" i="99"/>
  <c r="A454" i="99"/>
  <c r="E454" i="99"/>
  <c r="F454" i="99"/>
  <c r="H454" i="99"/>
  <c r="A455" i="99"/>
  <c r="E455" i="99"/>
  <c r="F455" i="99"/>
  <c r="H455" i="99"/>
  <c r="A456" i="99"/>
  <c r="E456" i="99"/>
  <c r="F456" i="99"/>
  <c r="H456" i="99"/>
  <c r="A457" i="99"/>
  <c r="E457" i="99"/>
  <c r="F457" i="99"/>
  <c r="H457" i="99"/>
  <c r="A458" i="99"/>
  <c r="E458" i="99"/>
  <c r="F458" i="99"/>
  <c r="H458" i="99"/>
  <c r="A459" i="99"/>
  <c r="E459" i="99"/>
  <c r="F459" i="99"/>
  <c r="H459" i="99"/>
  <c r="A460" i="99"/>
  <c r="E460" i="99"/>
  <c r="F460" i="99"/>
  <c r="H460" i="99"/>
  <c r="A461" i="99"/>
  <c r="E461" i="99"/>
  <c r="F461" i="99"/>
  <c r="H461" i="99"/>
  <c r="A462" i="99"/>
  <c r="E462" i="99"/>
  <c r="F462" i="99"/>
  <c r="H462" i="99"/>
  <c r="A463" i="99"/>
  <c r="E463" i="99"/>
  <c r="F463" i="99"/>
  <c r="H463" i="99"/>
  <c r="A464" i="99"/>
  <c r="E464" i="99"/>
  <c r="F464" i="99"/>
  <c r="H464" i="99"/>
  <c r="A465" i="99"/>
  <c r="E465" i="99"/>
  <c r="F465" i="99"/>
  <c r="H465" i="99"/>
  <c r="A466" i="99"/>
  <c r="E466" i="99"/>
  <c r="F466" i="99"/>
  <c r="H466" i="99"/>
  <c r="A467" i="99"/>
  <c r="E467" i="99"/>
  <c r="F467" i="99"/>
  <c r="H467" i="99"/>
  <c r="A468" i="99"/>
  <c r="E468" i="99"/>
  <c r="F468" i="99"/>
  <c r="H468" i="99"/>
  <c r="A469" i="99"/>
  <c r="E469" i="99"/>
  <c r="F469" i="99"/>
  <c r="H469" i="99"/>
  <c r="A470" i="99"/>
  <c r="E470" i="99"/>
  <c r="F470" i="99"/>
  <c r="H470" i="99"/>
  <c r="A471" i="99"/>
  <c r="E471" i="99"/>
  <c r="F471" i="99"/>
  <c r="H471" i="99"/>
  <c r="A472" i="99"/>
  <c r="E472" i="99"/>
  <c r="F472" i="99"/>
  <c r="H472" i="99"/>
  <c r="A473" i="99"/>
  <c r="E473" i="99"/>
  <c r="F473" i="99"/>
  <c r="H473" i="99"/>
  <c r="A474" i="99"/>
  <c r="E474" i="99"/>
  <c r="F474" i="99"/>
  <c r="H474" i="99"/>
  <c r="A475" i="99"/>
  <c r="E475" i="99"/>
  <c r="F475" i="99"/>
  <c r="H475" i="99"/>
  <c r="A476" i="99"/>
  <c r="E476" i="99"/>
  <c r="F476" i="99"/>
  <c r="H476" i="99"/>
  <c r="A477" i="99"/>
  <c r="E477" i="99"/>
  <c r="F477" i="99"/>
  <c r="H477" i="99"/>
  <c r="A478" i="99"/>
  <c r="E478" i="99"/>
  <c r="F478" i="99"/>
  <c r="H478" i="99"/>
  <c r="A479" i="99"/>
  <c r="E479" i="99"/>
  <c r="F479" i="99"/>
  <c r="H479" i="99"/>
  <c r="A480" i="99"/>
  <c r="E480" i="99"/>
  <c r="F480" i="99"/>
  <c r="H480" i="99"/>
  <c r="A481" i="99"/>
  <c r="E481" i="99"/>
  <c r="F481" i="99"/>
  <c r="H481" i="99"/>
  <c r="A482" i="99"/>
  <c r="E482" i="99"/>
  <c r="F482" i="99"/>
  <c r="H482" i="99"/>
  <c r="A483" i="99"/>
  <c r="E483" i="99"/>
  <c r="F483" i="99"/>
  <c r="H483" i="99"/>
  <c r="A484" i="99"/>
  <c r="E484" i="99"/>
  <c r="F484" i="99"/>
  <c r="H484" i="99"/>
  <c r="A485" i="99"/>
  <c r="E485" i="99"/>
  <c r="F485" i="99"/>
  <c r="H485" i="99"/>
  <c r="A486" i="99"/>
  <c r="E486" i="99"/>
  <c r="F486" i="99"/>
  <c r="H486" i="99"/>
  <c r="A487" i="99"/>
  <c r="E487" i="99"/>
  <c r="F487" i="99"/>
  <c r="H487" i="99"/>
  <c r="A488" i="99"/>
  <c r="E488" i="99"/>
  <c r="F488" i="99"/>
  <c r="H488" i="99"/>
  <c r="A489" i="99"/>
  <c r="E489" i="99"/>
  <c r="F489" i="99"/>
  <c r="H489" i="99"/>
  <c r="A490" i="99"/>
  <c r="E490" i="99"/>
  <c r="F490" i="99"/>
  <c r="H490" i="99"/>
  <c r="A491" i="99"/>
  <c r="E491" i="99"/>
  <c r="F491" i="99"/>
  <c r="H491" i="99"/>
  <c r="A492" i="99"/>
  <c r="E492" i="99"/>
  <c r="F492" i="99"/>
  <c r="H492" i="99"/>
  <c r="A493" i="99"/>
  <c r="E493" i="99"/>
  <c r="F493" i="99"/>
  <c r="H493" i="99"/>
  <c r="A494" i="99"/>
  <c r="E494" i="99"/>
  <c r="F494" i="99"/>
  <c r="H494" i="99"/>
  <c r="A495" i="99"/>
  <c r="E495" i="99"/>
  <c r="F495" i="99"/>
  <c r="H495" i="99"/>
  <c r="A496" i="99"/>
  <c r="E496" i="99"/>
  <c r="F496" i="99"/>
  <c r="H496" i="99"/>
  <c r="A497" i="99"/>
  <c r="E497" i="99"/>
  <c r="F497" i="99"/>
  <c r="H497" i="99"/>
  <c r="A498" i="99"/>
  <c r="E498" i="99"/>
  <c r="F498" i="99"/>
  <c r="H498" i="99"/>
  <c r="A499" i="99"/>
  <c r="E499" i="99"/>
  <c r="F499" i="99"/>
  <c r="H499" i="99"/>
  <c r="A500" i="99"/>
  <c r="E500" i="99"/>
  <c r="F500" i="99"/>
  <c r="H500" i="99"/>
  <c r="A501" i="99"/>
  <c r="E501" i="99"/>
  <c r="F501" i="99"/>
  <c r="H501" i="99"/>
  <c r="A502" i="99"/>
  <c r="E502" i="99"/>
  <c r="F502" i="99"/>
  <c r="H502" i="99"/>
  <c r="A503" i="99"/>
  <c r="E503" i="99"/>
  <c r="F503" i="99"/>
  <c r="H503" i="99"/>
  <c r="A504" i="99"/>
  <c r="E504" i="99"/>
  <c r="F504" i="99"/>
  <c r="H504" i="99"/>
  <c r="A505" i="99"/>
  <c r="E505" i="99"/>
  <c r="F505" i="99"/>
  <c r="H505" i="99"/>
  <c r="A506" i="99"/>
  <c r="E506" i="99"/>
  <c r="F506" i="99"/>
  <c r="H506" i="99"/>
  <c r="A507" i="99"/>
  <c r="E507" i="99"/>
  <c r="F507" i="99"/>
  <c r="H507" i="99"/>
  <c r="A508" i="99"/>
  <c r="E508" i="99"/>
  <c r="F508" i="99"/>
  <c r="H508" i="99"/>
  <c r="A509" i="99"/>
  <c r="E509" i="99"/>
  <c r="F509" i="99"/>
  <c r="H509" i="99"/>
  <c r="A510" i="99"/>
  <c r="E510" i="99"/>
  <c r="F510" i="99"/>
  <c r="H510" i="99"/>
  <c r="H516" i="99"/>
  <c r="H517" i="99"/>
  <c r="H518" i="99"/>
  <c r="H519" i="99"/>
  <c r="H520" i="99"/>
  <c r="A521" i="99"/>
  <c r="E521" i="99"/>
  <c r="H521" i="99"/>
  <c r="A522" i="99"/>
  <c r="E522" i="99"/>
  <c r="H522" i="99"/>
  <c r="A523" i="99"/>
  <c r="E523" i="99"/>
  <c r="H523" i="99"/>
  <c r="A524" i="99"/>
  <c r="E524" i="99"/>
  <c r="H524" i="99"/>
  <c r="A525" i="99"/>
  <c r="E525" i="99"/>
  <c r="F525" i="99"/>
  <c r="H525" i="99"/>
  <c r="A526" i="99"/>
  <c r="E526" i="99"/>
  <c r="F526" i="99"/>
  <c r="H526" i="99"/>
  <c r="A527" i="99"/>
  <c r="E527" i="99"/>
  <c r="F527" i="99"/>
  <c r="H527" i="99"/>
  <c r="A528" i="99"/>
  <c r="E528" i="99"/>
  <c r="F528" i="99"/>
  <c r="H528" i="99"/>
  <c r="A529" i="99"/>
  <c r="E529" i="99"/>
  <c r="F529" i="99"/>
  <c r="H529" i="99"/>
  <c r="A530" i="99"/>
  <c r="E530" i="99"/>
  <c r="F530" i="99"/>
  <c r="H530" i="99"/>
  <c r="A531" i="99"/>
  <c r="E531" i="99"/>
  <c r="F531" i="99"/>
  <c r="H531" i="99"/>
  <c r="A532" i="99"/>
  <c r="E532" i="99"/>
  <c r="F532" i="99"/>
  <c r="H532" i="99"/>
  <c r="A533" i="99"/>
  <c r="E533" i="99"/>
  <c r="F533" i="99"/>
  <c r="H533" i="99"/>
  <c r="A534" i="99"/>
  <c r="E534" i="99"/>
  <c r="F534" i="99"/>
  <c r="H534" i="99"/>
  <c r="A535" i="99"/>
  <c r="E535" i="99"/>
  <c r="F535" i="99"/>
  <c r="H535" i="99"/>
  <c r="A536" i="99"/>
  <c r="E536" i="99"/>
  <c r="F536" i="99"/>
  <c r="H536" i="99"/>
  <c r="A537" i="99"/>
  <c r="E537" i="99"/>
  <c r="F537" i="99"/>
  <c r="H537" i="99"/>
  <c r="A538" i="99"/>
  <c r="E538" i="99"/>
  <c r="F538" i="99"/>
  <c r="H538" i="99"/>
  <c r="A539" i="99"/>
  <c r="E539" i="99"/>
  <c r="F539" i="99"/>
  <c r="H539" i="99"/>
  <c r="A540" i="99"/>
  <c r="E540" i="99"/>
  <c r="F540" i="99"/>
  <c r="H540" i="99"/>
  <c r="A541" i="99"/>
  <c r="E541" i="99"/>
  <c r="F541" i="99"/>
  <c r="H541" i="99"/>
  <c r="A542" i="99"/>
  <c r="E542" i="99"/>
  <c r="F542" i="99"/>
  <c r="H542" i="99"/>
  <c r="A543" i="99"/>
  <c r="E543" i="99"/>
  <c r="F543" i="99"/>
  <c r="H543" i="99"/>
  <c r="A544" i="99"/>
  <c r="E544" i="99"/>
  <c r="F544" i="99"/>
  <c r="H544" i="99"/>
  <c r="A545" i="99"/>
  <c r="E545" i="99"/>
  <c r="F545" i="99"/>
  <c r="H545" i="99"/>
  <c r="A546" i="99"/>
  <c r="E546" i="99"/>
  <c r="F546" i="99"/>
  <c r="H546" i="99"/>
  <c r="A547" i="99"/>
  <c r="E547" i="99"/>
  <c r="F547" i="99"/>
  <c r="H547" i="99"/>
  <c r="A548" i="99"/>
  <c r="E548" i="99"/>
  <c r="F548" i="99"/>
  <c r="H548" i="99"/>
  <c r="A549" i="99"/>
  <c r="E549" i="99"/>
  <c r="F549" i="99"/>
  <c r="H549" i="99"/>
  <c r="A550" i="99"/>
  <c r="E550" i="99"/>
  <c r="F550" i="99"/>
  <c r="H550" i="99"/>
  <c r="A551" i="99"/>
  <c r="E551" i="99"/>
  <c r="F551" i="99"/>
  <c r="H551" i="99"/>
  <c r="A552" i="99"/>
  <c r="E552" i="99"/>
  <c r="F552" i="99"/>
  <c r="H552" i="99"/>
  <c r="A553" i="99"/>
  <c r="E553" i="99"/>
  <c r="F553" i="99"/>
  <c r="H553" i="99"/>
  <c r="A554" i="99"/>
  <c r="E554" i="99"/>
  <c r="F554" i="99"/>
  <c r="H554" i="99"/>
  <c r="A555" i="99"/>
  <c r="E555" i="99"/>
  <c r="F555" i="99"/>
  <c r="H555" i="99"/>
  <c r="A556" i="99"/>
  <c r="E556" i="99"/>
  <c r="F556" i="99"/>
  <c r="H556" i="99"/>
  <c r="A557" i="99"/>
  <c r="E557" i="99"/>
  <c r="F557" i="99"/>
  <c r="H557" i="99"/>
  <c r="A558" i="99"/>
  <c r="E558" i="99"/>
  <c r="F558" i="99"/>
  <c r="H558" i="99"/>
  <c r="A559" i="99"/>
  <c r="E559" i="99"/>
  <c r="F559" i="99"/>
  <c r="H559" i="99"/>
  <c r="A560" i="99"/>
  <c r="E560" i="99"/>
  <c r="F560" i="99"/>
  <c r="H560" i="99"/>
  <c r="A561" i="99"/>
  <c r="E561" i="99"/>
  <c r="F561" i="99"/>
  <c r="H561" i="99"/>
  <c r="A562" i="99"/>
  <c r="E562" i="99"/>
  <c r="F562" i="99"/>
  <c r="H562" i="99"/>
  <c r="A563" i="99"/>
  <c r="E563" i="99"/>
  <c r="F563" i="99"/>
  <c r="H563" i="99"/>
  <c r="A564" i="99"/>
  <c r="E564" i="99"/>
  <c r="F564" i="99"/>
  <c r="H564" i="99"/>
  <c r="A565" i="99"/>
  <c r="E565" i="99"/>
  <c r="F565" i="99"/>
  <c r="H565" i="99"/>
  <c r="A566" i="99"/>
  <c r="E566" i="99"/>
  <c r="F566" i="99"/>
  <c r="H566" i="99"/>
  <c r="A567" i="99"/>
  <c r="E567" i="99"/>
  <c r="F567" i="99"/>
  <c r="H567" i="99"/>
  <c r="A568" i="99"/>
  <c r="E568" i="99"/>
  <c r="H568" i="99"/>
  <c r="A569" i="99"/>
  <c r="E569" i="99"/>
  <c r="H569" i="99"/>
  <c r="A570" i="99"/>
  <c r="E570" i="99"/>
  <c r="H570" i="99"/>
  <c r="A571" i="99"/>
  <c r="E571" i="99"/>
  <c r="F571" i="99"/>
  <c r="H571" i="99"/>
  <c r="A572" i="99"/>
  <c r="E572" i="99"/>
  <c r="F572" i="99"/>
  <c r="H572" i="99"/>
  <c r="A573" i="99"/>
  <c r="F573" i="99"/>
  <c r="H573" i="99"/>
  <c r="A574" i="99"/>
  <c r="F574" i="99"/>
  <c r="H574" i="99"/>
  <c r="A575" i="99"/>
  <c r="F575" i="99"/>
  <c r="H575" i="99"/>
  <c r="A576" i="99"/>
  <c r="F576" i="99"/>
  <c r="H576" i="99"/>
  <c r="A577" i="99"/>
  <c r="F577" i="99"/>
  <c r="H577" i="99"/>
  <c r="A578" i="99"/>
  <c r="F578" i="99"/>
  <c r="H578" i="99"/>
  <c r="A579" i="99"/>
  <c r="F579" i="99"/>
  <c r="H579" i="99"/>
  <c r="A580" i="99"/>
  <c r="H580" i="99"/>
  <c r="A581" i="99"/>
  <c r="H581" i="99"/>
  <c r="A582" i="99"/>
  <c r="H582" i="99"/>
  <c r="A583" i="99"/>
  <c r="E583" i="99"/>
  <c r="F583" i="99"/>
  <c r="H583" i="99"/>
  <c r="A584" i="99"/>
  <c r="E584" i="99"/>
  <c r="F584" i="99"/>
  <c r="H584" i="99"/>
  <c r="A585" i="99"/>
  <c r="E585" i="99"/>
  <c r="F585" i="99"/>
  <c r="H585" i="99"/>
  <c r="A586" i="99"/>
  <c r="E586" i="99"/>
  <c r="F586" i="99"/>
  <c r="H586" i="99"/>
  <c r="A587" i="99"/>
  <c r="E587" i="99"/>
  <c r="F587" i="99"/>
  <c r="H587" i="99"/>
  <c r="A588" i="99"/>
  <c r="E588" i="99"/>
  <c r="F588" i="99"/>
  <c r="H588" i="99"/>
  <c r="A589" i="99"/>
  <c r="E589" i="99"/>
  <c r="F589" i="99"/>
  <c r="H589" i="99"/>
  <c r="A590" i="99"/>
  <c r="E590" i="99"/>
  <c r="F590" i="99"/>
  <c r="H590" i="99"/>
  <c r="A591" i="99"/>
  <c r="E591" i="99"/>
  <c r="F591" i="99"/>
  <c r="H591" i="99"/>
  <c r="A592" i="99"/>
  <c r="E592" i="99"/>
  <c r="F592" i="99"/>
  <c r="H592" i="99"/>
  <c r="A593" i="99"/>
  <c r="E593" i="99"/>
  <c r="F593" i="99"/>
  <c r="H593" i="99"/>
  <c r="A594" i="99"/>
  <c r="E594" i="99"/>
  <c r="F594" i="99"/>
  <c r="H594" i="99"/>
  <c r="A595" i="99"/>
  <c r="E595" i="99"/>
  <c r="F595" i="99"/>
  <c r="H595" i="99"/>
  <c r="A596" i="99"/>
  <c r="E596" i="99"/>
  <c r="F596" i="99"/>
  <c r="H596" i="99"/>
  <c r="A597" i="99"/>
  <c r="E597" i="99"/>
  <c r="F597" i="99"/>
  <c r="H597" i="99"/>
  <c r="A598" i="99"/>
  <c r="E598" i="99"/>
  <c r="F598" i="99"/>
  <c r="H598" i="99"/>
  <c r="A599" i="99"/>
  <c r="E599" i="99"/>
  <c r="F599" i="99"/>
  <c r="H599" i="99"/>
  <c r="A600" i="99"/>
  <c r="E600" i="99"/>
  <c r="F600" i="99"/>
  <c r="H600" i="99"/>
  <c r="A601" i="99"/>
  <c r="E601" i="99"/>
  <c r="F601" i="99"/>
  <c r="H601" i="99"/>
  <c r="A602" i="99"/>
  <c r="E602" i="99"/>
  <c r="F602" i="99"/>
  <c r="H602" i="99"/>
  <c r="A603" i="99"/>
  <c r="E603" i="99"/>
  <c r="F603" i="99"/>
  <c r="H603" i="99"/>
  <c r="A604" i="99"/>
  <c r="E604" i="99"/>
  <c r="F604" i="99"/>
  <c r="H604" i="99"/>
  <c r="A605" i="99"/>
  <c r="E605" i="99"/>
  <c r="F605" i="99"/>
  <c r="H605" i="99"/>
  <c r="A606" i="99"/>
  <c r="E606" i="99"/>
  <c r="F606" i="99"/>
  <c r="H606" i="99"/>
  <c r="A607" i="99"/>
  <c r="F607" i="99"/>
  <c r="H607" i="99"/>
  <c r="A608" i="99"/>
  <c r="F608" i="99"/>
  <c r="H608" i="99"/>
  <c r="A609" i="99"/>
  <c r="F609" i="99"/>
  <c r="H609" i="99"/>
  <c r="A610" i="99"/>
  <c r="F610" i="99"/>
  <c r="H610" i="99"/>
  <c r="A611" i="99"/>
  <c r="F611" i="99"/>
  <c r="H611" i="99"/>
  <c r="A612" i="99"/>
  <c r="H612" i="99"/>
  <c r="A613" i="99"/>
  <c r="H613" i="99"/>
  <c r="A614" i="99"/>
  <c r="H614" i="99"/>
  <c r="A615" i="99"/>
  <c r="H615" i="99"/>
  <c r="A616" i="99"/>
  <c r="H616" i="99"/>
  <c r="A617" i="99"/>
  <c r="H617" i="99"/>
  <c r="A618" i="99"/>
  <c r="H618" i="99"/>
  <c r="A619" i="99"/>
  <c r="F619" i="99"/>
  <c r="H619" i="99"/>
  <c r="A620" i="99"/>
  <c r="E620" i="99"/>
  <c r="H620" i="99"/>
  <c r="E621" i="99"/>
  <c r="H621" i="99"/>
  <c r="E622" i="99"/>
  <c r="H622" i="99"/>
  <c r="E623" i="99"/>
  <c r="H623" i="99"/>
  <c r="E624" i="99"/>
  <c r="H624" i="99"/>
  <c r="E625" i="99"/>
  <c r="H625" i="99"/>
  <c r="E626" i="99"/>
  <c r="H626" i="99"/>
  <c r="E627" i="99"/>
  <c r="H627" i="99"/>
  <c r="E628" i="99"/>
  <c r="H628" i="99"/>
  <c r="E629" i="99"/>
  <c r="H629" i="99"/>
  <c r="E630" i="99"/>
  <c r="H630" i="99"/>
  <c r="A631" i="99"/>
  <c r="E631" i="99"/>
  <c r="H631" i="99"/>
  <c r="A632" i="99"/>
  <c r="E632" i="99"/>
  <c r="H632" i="99"/>
  <c r="A633" i="99"/>
  <c r="E633" i="99"/>
  <c r="H633" i="99"/>
  <c r="A634" i="99"/>
  <c r="E634" i="99"/>
  <c r="H634" i="99"/>
  <c r="A635" i="99"/>
  <c r="E635" i="99"/>
  <c r="H635" i="99"/>
  <c r="E636" i="99"/>
  <c r="H636" i="99"/>
  <c r="E637" i="99"/>
  <c r="H637" i="99"/>
  <c r="E638" i="99"/>
  <c r="H638" i="99"/>
  <c r="E639" i="99"/>
  <c r="H639" i="99"/>
  <c r="E640" i="99"/>
  <c r="H640" i="99"/>
  <c r="E641" i="99"/>
  <c r="H641" i="99"/>
  <c r="F9" i="105"/>
  <c r="G9" i="105"/>
  <c r="F10" i="105"/>
  <c r="G10" i="105"/>
  <c r="F11" i="105"/>
  <c r="G11" i="105"/>
  <c r="F12" i="105"/>
  <c r="G12" i="105"/>
  <c r="F19" i="105"/>
  <c r="G19" i="105"/>
  <c r="F20" i="105"/>
  <c r="G20" i="105"/>
  <c r="F21" i="105"/>
  <c r="G21" i="105"/>
  <c r="F22" i="105"/>
  <c r="G22" i="105"/>
  <c r="F23" i="105"/>
  <c r="G23" i="105"/>
  <c r="F24" i="105"/>
  <c r="G24" i="105"/>
  <c r="F31" i="105"/>
  <c r="G31" i="105"/>
  <c r="F32" i="105"/>
  <c r="G32" i="105"/>
  <c r="F33" i="105"/>
  <c r="G33" i="105"/>
  <c r="F34" i="105"/>
  <c r="G34" i="105"/>
  <c r="F35" i="105"/>
  <c r="G35" i="105"/>
  <c r="F36" i="105"/>
  <c r="G36" i="105"/>
  <c r="F43" i="105"/>
  <c r="G43" i="105"/>
  <c r="F44" i="105"/>
  <c r="G44" i="105"/>
  <c r="F45" i="105"/>
  <c r="G45" i="105"/>
  <c r="F46" i="105"/>
  <c r="G46" i="105"/>
  <c r="F47" i="105"/>
  <c r="G47" i="105"/>
  <c r="F48" i="105"/>
  <c r="G48" i="105"/>
  <c r="F55" i="105"/>
  <c r="G55" i="105"/>
  <c r="F56" i="105"/>
  <c r="G56" i="105"/>
  <c r="F57" i="105"/>
  <c r="G57" i="105"/>
  <c r="F58" i="105"/>
  <c r="G58" i="105"/>
  <c r="F59" i="105"/>
  <c r="G59" i="105"/>
  <c r="G10" i="111"/>
  <c r="G11" i="111"/>
  <c r="G12" i="111"/>
  <c r="G13" i="111"/>
  <c r="G21" i="111"/>
  <c r="G22" i="111"/>
  <c r="G23" i="111"/>
  <c r="F33" i="111"/>
  <c r="G33" i="111"/>
  <c r="F6" i="79"/>
  <c r="F13" i="79"/>
  <c r="F14" i="79"/>
  <c r="F15" i="79"/>
  <c r="F23" i="79"/>
  <c r="G23" i="79"/>
  <c r="F25" i="79"/>
  <c r="G25" i="79"/>
  <c r="F7" i="20"/>
  <c r="G7" i="20"/>
  <c r="F8" i="20"/>
  <c r="G8" i="20"/>
  <c r="F10" i="20"/>
  <c r="G10" i="20"/>
  <c r="F17" i="20"/>
  <c r="G17" i="20"/>
  <c r="F18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36" i="20"/>
  <c r="F37" i="20"/>
  <c r="F38" i="20"/>
  <c r="F39" i="20"/>
  <c r="F40" i="20"/>
  <c r="F42" i="20"/>
  <c r="F43" i="20"/>
  <c r="F44" i="20"/>
  <c r="F45" i="20"/>
  <c r="F46" i="20"/>
  <c r="F55" i="20"/>
  <c r="F56" i="20"/>
  <c r="F57" i="20"/>
  <c r="F61" i="20"/>
  <c r="F62" i="20"/>
  <c r="F63" i="20"/>
  <c r="F6" i="60"/>
  <c r="G6" i="60"/>
  <c r="F7" i="60"/>
  <c r="G7" i="60"/>
  <c r="F8" i="60"/>
  <c r="G8" i="60"/>
  <c r="F9" i="60"/>
  <c r="G9" i="60"/>
  <c r="F10" i="60"/>
  <c r="G10" i="60"/>
  <c r="F11" i="60"/>
  <c r="G11" i="60"/>
  <c r="F12" i="60"/>
  <c r="G12" i="60"/>
  <c r="F13" i="60"/>
  <c r="G13" i="60"/>
  <c r="F14" i="60"/>
  <c r="G14" i="60"/>
  <c r="F15" i="60"/>
  <c r="G15" i="60"/>
  <c r="F16" i="60"/>
  <c r="G16" i="60"/>
  <c r="F17" i="60"/>
  <c r="G17" i="60"/>
  <c r="F18" i="60"/>
  <c r="G18" i="60"/>
  <c r="F19" i="60"/>
  <c r="G19" i="60"/>
  <c r="F20" i="60"/>
  <c r="G20" i="60"/>
  <c r="F21" i="60"/>
  <c r="G21" i="60"/>
  <c r="F22" i="60"/>
  <c r="G22" i="60"/>
  <c r="F23" i="60"/>
  <c r="G23" i="60"/>
  <c r="F24" i="60"/>
  <c r="G24" i="60"/>
  <c r="F25" i="60"/>
  <c r="G25" i="60"/>
  <c r="F26" i="60"/>
  <c r="G26" i="60"/>
  <c r="F27" i="60"/>
  <c r="G27" i="60"/>
  <c r="F28" i="60"/>
  <c r="G28" i="60"/>
  <c r="F29" i="60"/>
  <c r="G29" i="60"/>
  <c r="F30" i="60"/>
  <c r="G30" i="60"/>
  <c r="F31" i="60"/>
  <c r="G31" i="60"/>
  <c r="F32" i="60"/>
  <c r="G32" i="60"/>
  <c r="F33" i="60"/>
  <c r="G33" i="60"/>
  <c r="F6" i="22"/>
  <c r="G6" i="22"/>
  <c r="F7" i="22"/>
  <c r="G7" i="22"/>
  <c r="F8" i="22"/>
  <c r="G8" i="22"/>
  <c r="F9" i="22"/>
  <c r="G9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F42" i="22"/>
  <c r="F43" i="22"/>
  <c r="F44" i="22"/>
  <c r="F45" i="22"/>
  <c r="F46" i="22"/>
  <c r="F62" i="22"/>
  <c r="F63" i="22"/>
  <c r="F64" i="22"/>
  <c r="F65" i="22"/>
  <c r="F73" i="22"/>
  <c r="F74" i="22"/>
  <c r="F75" i="22"/>
  <c r="F76" i="22"/>
  <c r="F77" i="22"/>
  <c r="F6" i="21"/>
  <c r="G6" i="21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35" i="21"/>
  <c r="G35" i="21"/>
  <c r="F36" i="21"/>
  <c r="G36" i="21"/>
  <c r="F37" i="21"/>
  <c r="G37" i="21"/>
  <c r="F38" i="21"/>
  <c r="G38" i="21"/>
  <c r="F39" i="21"/>
  <c r="G39" i="21"/>
  <c r="F6" i="19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G6" i="18"/>
  <c r="F7" i="18"/>
  <c r="G7" i="18"/>
  <c r="F8" i="18"/>
  <c r="G8" i="18"/>
  <c r="F9" i="18"/>
  <c r="G9" i="18"/>
  <c r="F10" i="18"/>
  <c r="G10" i="18"/>
  <c r="F11" i="18"/>
  <c r="G11" i="18"/>
  <c r="F12" i="18"/>
  <c r="G12" i="18"/>
  <c r="F13" i="18"/>
  <c r="G13" i="18"/>
  <c r="F14" i="18"/>
  <c r="G14" i="18"/>
  <c r="F15" i="18"/>
  <c r="G15" i="18"/>
  <c r="G22" i="18"/>
  <c r="F23" i="18"/>
  <c r="G23" i="18"/>
  <c r="F24" i="18"/>
  <c r="G24" i="18"/>
  <c r="F25" i="18"/>
  <c r="G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8" i="18"/>
  <c r="G38" i="18"/>
  <c r="F40" i="18"/>
  <c r="G40" i="18"/>
  <c r="F41" i="18"/>
  <c r="G41" i="18"/>
  <c r="F42" i="18"/>
  <c r="G42" i="18"/>
  <c r="F50" i="18"/>
  <c r="G50" i="18"/>
  <c r="F51" i="18"/>
  <c r="G51" i="18"/>
  <c r="F52" i="18"/>
  <c r="G52" i="18"/>
  <c r="F53" i="18"/>
  <c r="G53" i="18"/>
  <c r="F54" i="18"/>
  <c r="G54" i="18"/>
  <c r="F55" i="18"/>
  <c r="G55" i="18"/>
  <c r="F56" i="18"/>
  <c r="G56" i="18"/>
  <c r="F57" i="18"/>
  <c r="G57" i="18"/>
  <c r="F58" i="18"/>
  <c r="G58" i="18"/>
  <c r="F59" i="18"/>
  <c r="G59" i="18"/>
  <c r="F60" i="18"/>
  <c r="G60" i="18"/>
  <c r="F61" i="18"/>
  <c r="G61" i="18"/>
  <c r="F62" i="18"/>
  <c r="G62" i="18"/>
  <c r="F63" i="18"/>
  <c r="G63" i="18"/>
  <c r="F64" i="18"/>
  <c r="G64" i="18"/>
  <c r="F65" i="18"/>
  <c r="G65" i="18"/>
  <c r="F66" i="18"/>
  <c r="G66" i="18"/>
  <c r="F6" i="17"/>
  <c r="G6" i="17"/>
  <c r="F7" i="17"/>
  <c r="G7" i="17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F41" i="17"/>
  <c r="G41" i="17"/>
  <c r="F42" i="17"/>
  <c r="G42" i="17"/>
  <c r="F43" i="17"/>
  <c r="G43" i="17"/>
  <c r="F44" i="17"/>
  <c r="G44" i="17"/>
  <c r="F45" i="17"/>
  <c r="G45" i="17"/>
  <c r="F46" i="17"/>
  <c r="G46" i="17"/>
  <c r="F47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6" i="16"/>
  <c r="G6" i="16"/>
  <c r="F7" i="16"/>
  <c r="G7" i="16"/>
  <c r="F8" i="16"/>
  <c r="G8" i="16"/>
  <c r="F9" i="16"/>
  <c r="G9" i="16"/>
  <c r="F10" i="16"/>
  <c r="G10" i="16"/>
  <c r="F11" i="16"/>
  <c r="G11" i="16"/>
  <c r="F12" i="16"/>
  <c r="G12" i="16"/>
  <c r="F13" i="16"/>
  <c r="G13" i="16"/>
  <c r="F14" i="16"/>
  <c r="G14" i="16"/>
  <c r="F15" i="16"/>
  <c r="G15" i="16"/>
  <c r="F16" i="16"/>
  <c r="G16" i="16"/>
  <c r="F17" i="16"/>
  <c r="G17" i="16"/>
  <c r="F18" i="16"/>
  <c r="G18" i="16"/>
  <c r="F19" i="16"/>
  <c r="G19" i="16"/>
  <c r="F20" i="16"/>
  <c r="G20" i="16"/>
  <c r="F21" i="16"/>
  <c r="G21" i="16"/>
  <c r="F22" i="16"/>
  <c r="G22" i="16"/>
  <c r="F23" i="16"/>
  <c r="G23" i="16"/>
  <c r="F24" i="16"/>
  <c r="G24" i="16"/>
  <c r="F25" i="16"/>
  <c r="G25" i="16"/>
  <c r="F26" i="16"/>
  <c r="G26" i="16"/>
  <c r="F27" i="16"/>
  <c r="G27" i="16"/>
  <c r="F28" i="16"/>
  <c r="G28" i="16"/>
  <c r="F29" i="16"/>
  <c r="G29" i="16"/>
  <c r="F30" i="16"/>
  <c r="G30" i="16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F20" i="15"/>
  <c r="G20" i="15"/>
  <c r="F21" i="15"/>
  <c r="G21" i="15"/>
  <c r="F22" i="15"/>
  <c r="G22" i="15"/>
  <c r="F23" i="15"/>
  <c r="G23" i="15"/>
  <c r="F24" i="15"/>
  <c r="G24" i="15"/>
  <c r="F25" i="15"/>
  <c r="G25" i="15"/>
  <c r="F26" i="15"/>
  <c r="G26" i="15"/>
  <c r="F27" i="15"/>
  <c r="G27" i="15"/>
  <c r="F28" i="15"/>
  <c r="G28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6" i="14"/>
  <c r="G6" i="14"/>
  <c r="F7" i="14"/>
  <c r="G7" i="14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41" i="14"/>
  <c r="G41" i="14"/>
  <c r="G42" i="14"/>
  <c r="F63" i="14"/>
  <c r="G63" i="14"/>
  <c r="F64" i="14"/>
  <c r="G64" i="14"/>
  <c r="F65" i="14"/>
  <c r="G65" i="14"/>
  <c r="F66" i="14"/>
  <c r="G66" i="14"/>
  <c r="F67" i="14"/>
  <c r="G67" i="14"/>
  <c r="F68" i="14"/>
  <c r="G68" i="14"/>
  <c r="F69" i="14"/>
  <c r="G69" i="14"/>
  <c r="F70" i="14"/>
  <c r="G70" i="14"/>
  <c r="F71" i="14"/>
  <c r="G71" i="14"/>
  <c r="F72" i="14"/>
  <c r="G72" i="14"/>
  <c r="F73" i="14"/>
  <c r="G73" i="14"/>
  <c r="F74" i="14"/>
  <c r="G74" i="14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8" i="13"/>
  <c r="G68" i="13"/>
  <c r="F69" i="13"/>
  <c r="G69" i="13"/>
  <c r="F70" i="13"/>
  <c r="G70" i="13"/>
  <c r="F71" i="13"/>
  <c r="G71" i="13"/>
  <c r="F72" i="13"/>
  <c r="G72" i="13"/>
  <c r="F73" i="13"/>
  <c r="G73" i="13"/>
  <c r="F74" i="13"/>
  <c r="G74" i="13"/>
  <c r="F75" i="13"/>
  <c r="G75" i="13"/>
  <c r="F76" i="13"/>
  <c r="G76" i="13"/>
  <c r="F46" i="12"/>
  <c r="G46" i="12"/>
  <c r="F47" i="12"/>
  <c r="G47" i="12"/>
  <c r="F48" i="12"/>
  <c r="G48" i="12"/>
  <c r="F49" i="12"/>
  <c r="G49" i="12"/>
  <c r="F50" i="12"/>
  <c r="G50" i="12"/>
  <c r="F51" i="12"/>
  <c r="G51" i="12"/>
  <c r="F52" i="12"/>
  <c r="G52" i="12"/>
  <c r="F53" i="12"/>
  <c r="G53" i="12"/>
  <c r="F54" i="12"/>
  <c r="G54" i="12"/>
  <c r="F55" i="12"/>
  <c r="G55" i="12"/>
  <c r="F56" i="12"/>
  <c r="G56" i="12"/>
  <c r="F57" i="12"/>
  <c r="G57" i="12"/>
  <c r="F58" i="12"/>
  <c r="G58" i="12"/>
  <c r="F59" i="12"/>
  <c r="G59" i="12"/>
  <c r="F60" i="12"/>
  <c r="G60" i="12"/>
  <c r="F61" i="12"/>
  <c r="G61" i="12"/>
  <c r="F62" i="12"/>
  <c r="G62" i="12"/>
  <c r="F63" i="12"/>
  <c r="G63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5" i="12"/>
  <c r="G75" i="12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G7" i="24"/>
  <c r="G8" i="24"/>
  <c r="G9" i="24"/>
  <c r="G10" i="24"/>
  <c r="G12" i="24"/>
  <c r="G13" i="24"/>
  <c r="G14" i="24"/>
  <c r="G15" i="24"/>
  <c r="G16" i="24"/>
  <c r="G17" i="24"/>
  <c r="G18" i="24"/>
  <c r="G19" i="24"/>
  <c r="F26" i="24"/>
  <c r="G26" i="24"/>
  <c r="F27" i="24"/>
  <c r="G27" i="24"/>
  <c r="F28" i="24"/>
  <c r="G28" i="24"/>
  <c r="F29" i="24"/>
  <c r="G29" i="24"/>
  <c r="F30" i="24"/>
  <c r="G30" i="24"/>
  <c r="F31" i="24"/>
  <c r="G31" i="24"/>
  <c r="F32" i="24"/>
  <c r="G32" i="24"/>
  <c r="F33" i="24"/>
  <c r="G33" i="24"/>
  <c r="F34" i="24"/>
  <c r="G34" i="24"/>
  <c r="F35" i="24"/>
  <c r="G35" i="24"/>
  <c r="F36" i="24"/>
  <c r="G36" i="24"/>
  <c r="F37" i="24"/>
  <c r="G37" i="24"/>
  <c r="F38" i="24"/>
  <c r="G38" i="24"/>
  <c r="F39" i="24"/>
  <c r="G39" i="24"/>
  <c r="F40" i="24"/>
  <c r="G40" i="24"/>
  <c r="F41" i="24"/>
  <c r="G41" i="24"/>
  <c r="F42" i="24"/>
  <c r="G42" i="24"/>
  <c r="F43" i="24"/>
  <c r="G43" i="24"/>
  <c r="F44" i="24"/>
  <c r="G44" i="24"/>
  <c r="F45" i="24"/>
  <c r="G45" i="24"/>
  <c r="F46" i="24"/>
  <c r="G46" i="24"/>
  <c r="F47" i="24"/>
  <c r="G47" i="24"/>
  <c r="F48" i="24"/>
  <c r="G48" i="24"/>
  <c r="F49" i="24"/>
  <c r="G49" i="24"/>
  <c r="F50" i="24"/>
  <c r="G50" i="24"/>
  <c r="F51" i="24"/>
  <c r="G51" i="24"/>
  <c r="F52" i="24"/>
  <c r="G52" i="24"/>
  <c r="F53" i="24"/>
  <c r="G53" i="24"/>
  <c r="F54" i="24"/>
  <c r="G54" i="24"/>
  <c r="F55" i="24"/>
  <c r="G55" i="24"/>
  <c r="F56" i="24"/>
  <c r="G56" i="24"/>
  <c r="F57" i="24"/>
  <c r="G57" i="24"/>
  <c r="F58" i="24"/>
  <c r="G58" i="24"/>
  <c r="F59" i="24"/>
  <c r="G59" i="24"/>
  <c r="F60" i="24"/>
  <c r="G60" i="24"/>
  <c r="F61" i="24"/>
  <c r="G61" i="24"/>
  <c r="F62" i="24"/>
  <c r="G62" i="24"/>
</calcChain>
</file>

<file path=xl/sharedStrings.xml><?xml version="1.0" encoding="utf-8"?>
<sst xmlns="http://schemas.openxmlformats.org/spreadsheetml/2006/main" count="2740" uniqueCount="838">
  <si>
    <t>Оц / св</t>
  </si>
  <si>
    <t>с накаткой RS</t>
  </si>
  <si>
    <t>с накаткой RT</t>
  </si>
  <si>
    <t>DIN EN10230 D-Head</t>
  </si>
  <si>
    <t>DIN EN10230 PE-Strips</t>
  </si>
  <si>
    <r>
      <t xml:space="preserve">DIN EN10230 </t>
    </r>
    <r>
      <rPr>
        <b/>
        <sz val="9"/>
        <rFont val="Arial Cyr"/>
        <charset val="204"/>
      </rPr>
      <t>машинные</t>
    </r>
  </si>
  <si>
    <t>25-55</t>
  </si>
  <si>
    <t>35/40</t>
  </si>
  <si>
    <t>40-80</t>
  </si>
  <si>
    <t>2,8 и более</t>
  </si>
  <si>
    <t>Проволока стальная для щеток</t>
  </si>
  <si>
    <t xml:space="preserve"> Диаметр, мм</t>
  </si>
  <si>
    <t>Цена руб/тн</t>
  </si>
  <si>
    <t>0,25-0,4</t>
  </si>
  <si>
    <t>0,41-0,7</t>
  </si>
  <si>
    <t>0,8-1,2</t>
  </si>
  <si>
    <t xml:space="preserve">Примечание: </t>
  </si>
  <si>
    <t xml:space="preserve">DIN EN10230 </t>
  </si>
  <si>
    <t>гвозди специального назначения</t>
  </si>
  <si>
    <t>проволока стальная бронекабельная</t>
  </si>
  <si>
    <t>50-110</t>
  </si>
  <si>
    <t>6,1-9,9</t>
  </si>
  <si>
    <t>10,0-12,0</t>
  </si>
  <si>
    <t>Специфичные канаты производства ВЗ</t>
  </si>
  <si>
    <t>проволока оцинкованная для проводов и кабелей "Ж"</t>
  </si>
  <si>
    <t>сердечник стальной оцинкованный</t>
  </si>
  <si>
    <t xml:space="preserve">ГОСТ 6402            </t>
  </si>
  <si>
    <t>Канаты закрытой конструкции, производства ВЗ</t>
  </si>
  <si>
    <t>Канат закрытый несущий с одним слоем зетообразной проволоки и сердечником типа ТК</t>
  </si>
  <si>
    <t xml:space="preserve">  ГОСТ 3090-73</t>
  </si>
  <si>
    <t xml:space="preserve">Цена с учетом тары, руб./1000 м </t>
  </si>
  <si>
    <t>Цена с учетом тары, руб./тн</t>
  </si>
  <si>
    <t>Канат закрытый несущий с двумя слоями зетообразной проволоки и сердечником типа ТК</t>
  </si>
  <si>
    <t xml:space="preserve">  ГОСТ 18901-73</t>
  </si>
  <si>
    <t>Канат закрытый несущий с одним слоям клиновидной и  одним слоем зетообразной проволоки и сердечником типа ТК</t>
  </si>
  <si>
    <t xml:space="preserve">  ГОСТ 7675-73</t>
  </si>
  <si>
    <t>Канат закрытый несущий с двумя слоями клиновидной и  одним слоем зетообразной проволоки и сердечником типа ТК</t>
  </si>
  <si>
    <t xml:space="preserve">  ГОСТ 7676-73</t>
  </si>
  <si>
    <t>Канат стальной оцинкованный спиральный закрытой конструкции</t>
  </si>
  <si>
    <t>ТУ 14-4-1216-82</t>
  </si>
  <si>
    <t>Канат двойной свивки типа ЛК - РО конструкции                 8х36(1+7+7/7+14)+ 6х19(1+9+9)</t>
  </si>
  <si>
    <t>ТУ 14-4-496-74</t>
  </si>
  <si>
    <t xml:space="preserve"> ГОСТ 3090-73</t>
  </si>
  <si>
    <t xml:space="preserve"> ГОСТ 18901-73</t>
  </si>
  <si>
    <t xml:space="preserve"> ГОСТ 7675-73</t>
  </si>
  <si>
    <t>ГОСТ 7676-73</t>
  </si>
  <si>
    <t xml:space="preserve"> ТУ 14-4-1216-82</t>
  </si>
  <si>
    <t>канат стальной оцинкованный спиральный закрытой конструкции</t>
  </si>
  <si>
    <t>канат двойной свивки типа ЛК - РО конструкции 8х36(1+7+7/7+14)+ 6х19(1+9+9)</t>
  </si>
  <si>
    <t xml:space="preserve">проволока колючая одноосная рифленая </t>
  </si>
  <si>
    <t>Проволока кардная</t>
  </si>
  <si>
    <t>ГОСТ 3875-83</t>
  </si>
  <si>
    <t>Базовые цены на  продукцию без НДС</t>
  </si>
  <si>
    <t>Группа качества поверхности "Б"</t>
  </si>
  <si>
    <t>Ультразвуковая обработка</t>
  </si>
  <si>
    <t>10-49</t>
  </si>
  <si>
    <t>13 - 55</t>
  </si>
  <si>
    <t>16 - 90</t>
  </si>
  <si>
    <t>20 - 100</t>
  </si>
  <si>
    <t>25 - 100</t>
  </si>
  <si>
    <t>ф18-24</t>
  </si>
  <si>
    <t>Ф2,0*12-18</t>
  </si>
  <si>
    <t>Ф2,0*20-40</t>
  </si>
  <si>
    <t>Ф2,5*14-20</t>
  </si>
  <si>
    <t>Ф2,5*25-50</t>
  </si>
  <si>
    <t>Ф3,2*18-25</t>
  </si>
  <si>
    <t>Ф3,2*28-70</t>
  </si>
  <si>
    <t>Ф4,0*20-28</t>
  </si>
  <si>
    <t>Ф4,0*32-80</t>
  </si>
  <si>
    <t>кл. прочности 5</t>
  </si>
  <si>
    <t>Заклепки с полукруглой головкой по чертежам</t>
  </si>
  <si>
    <t xml:space="preserve">Заклепки с потайной головкой </t>
  </si>
  <si>
    <t>Заклепки с потайной головкой классов точности В и С</t>
  </si>
  <si>
    <t>Заклепки с полупотайной головкой классов точности В и С</t>
  </si>
  <si>
    <t>Мокрое волочение (полированная)</t>
  </si>
  <si>
    <t>Система скидок не действует</t>
  </si>
  <si>
    <t>30 - 110</t>
  </si>
  <si>
    <t>20-45</t>
  </si>
  <si>
    <t>30 - 49</t>
  </si>
  <si>
    <t>30 - 90</t>
  </si>
  <si>
    <t>40-120</t>
  </si>
  <si>
    <t>Гвозди отделочные  ТУ012</t>
  </si>
  <si>
    <t>Ф25</t>
  </si>
  <si>
    <t>ТС 71915393-042-2006</t>
  </si>
  <si>
    <t>размер, мм</t>
  </si>
  <si>
    <t>ШГ35,1 и выше</t>
  </si>
  <si>
    <t>Канаты стальные талевые для оснастки буровых установок нефтяных и газовых скважин конструкции                 6х26(1+5+5/5+10)+3х19(1+6+6/6)+3 о.з.</t>
  </si>
  <si>
    <t>без пластического обжатия (тип 1)</t>
  </si>
  <si>
    <t>и глубокого разведочного бурения</t>
  </si>
  <si>
    <t>конструкции 6х31(1+6+6/6+12)</t>
  </si>
  <si>
    <t>код</t>
  </si>
  <si>
    <t>Г16853 Ф25 МС</t>
  </si>
  <si>
    <t>Г16853 Ф28 МС</t>
  </si>
  <si>
    <t>Г16853 Ф32 МС</t>
  </si>
  <si>
    <t>Г16853 Ф35 МС</t>
  </si>
  <si>
    <t>Г16853 Ф38 МС</t>
  </si>
  <si>
    <t>Г16853 Ф25 орг</t>
  </si>
  <si>
    <t>Г16853 Ф28 орг</t>
  </si>
  <si>
    <t>Г16853 Ф32 орг</t>
  </si>
  <si>
    <t>Г16853 Ф35 орг</t>
  </si>
  <si>
    <t>Г16853 Ф38 орг</t>
  </si>
  <si>
    <t>проволока стальная н/у качественная</t>
  </si>
  <si>
    <t>1,50-1,55</t>
  </si>
  <si>
    <t>1,20-1,25</t>
  </si>
  <si>
    <t>Диаметр, мм</t>
  </si>
  <si>
    <t>1,30-1,37</t>
  </si>
  <si>
    <t>1,10-1,15</t>
  </si>
  <si>
    <t>0,80-0,85</t>
  </si>
  <si>
    <t>4,2-4,5</t>
  </si>
  <si>
    <t>0,70-0,75</t>
  </si>
  <si>
    <t>4,0-4,1</t>
  </si>
  <si>
    <t>3,8-3,9</t>
  </si>
  <si>
    <t>Диаметр,  мм</t>
  </si>
  <si>
    <t xml:space="preserve"> ГОСТ  17305-71</t>
  </si>
  <si>
    <t>ГОСТ 3282-74</t>
  </si>
  <si>
    <t>С</t>
  </si>
  <si>
    <t>КАНАТ ОДИНАРНОЙ СВИВКИ ТИПА ЛК-О</t>
  </si>
  <si>
    <t xml:space="preserve">  ГОСТ  3062-80</t>
  </si>
  <si>
    <t>КОНСТРУКЦИИ  1х7(1+6)</t>
  </si>
  <si>
    <t>Ориентировочная масса 1000 м смазанного каната, кг</t>
  </si>
  <si>
    <t>Светлый</t>
  </si>
  <si>
    <t>КАНАТ ДВОЙНОЙ СВИВКИ ТИПА ТК</t>
  </si>
  <si>
    <t xml:space="preserve">  ГОСТ 3063-80 </t>
  </si>
  <si>
    <t>КОНСТРУКЦИИ 1х19(1+6+12)</t>
  </si>
  <si>
    <t xml:space="preserve">  ГОСТ 3064-80</t>
  </si>
  <si>
    <t>КАНАТ ОДИНАРНОЙ СВИВКИ ТИПА ТК</t>
  </si>
  <si>
    <t>КОНСТРУКЦИИ 1х37 (1+6+12+18)</t>
  </si>
  <si>
    <t xml:space="preserve">  ГОСТ 3066-80 </t>
  </si>
  <si>
    <t>КАНАТ ДВОЙНОЙ СВИВКИ ТИПА ЛК-Р</t>
  </si>
  <si>
    <t>КОНСТРУКЦИИ 6х7(1+6)+1х7(1+6)</t>
  </si>
  <si>
    <t>КОНСТРУКЦИИ 6х19(1+6+12)+1х19(1+6+12)</t>
  </si>
  <si>
    <t xml:space="preserve">  ГОСТ 3069-80</t>
  </si>
  <si>
    <t>КАНАТ ДВОЙНОЙ СВИВКИ ТИПА ЛК-О</t>
  </si>
  <si>
    <t>КОНСТРУКЦИИ 6х7(1+6)+1о.с.</t>
  </si>
  <si>
    <t xml:space="preserve">  ГОСТ 3070-88</t>
  </si>
  <si>
    <t>КОНСТРУКЦИИ 6х19(1+6+12)+1о.с.</t>
  </si>
  <si>
    <t xml:space="preserve">  ГОСТ 3071-88 </t>
  </si>
  <si>
    <t>КОНСТРУКЦИИ 6х37(1+6+12+18)+1 о.с.</t>
  </si>
  <si>
    <t xml:space="preserve">  ГОСТ 3077-80 </t>
  </si>
  <si>
    <t xml:space="preserve">  ГОСТ 3079-80 </t>
  </si>
  <si>
    <t>КАНАТ ДВОЙНОЙ СВИВКИ ТИПА ТЛК-О</t>
  </si>
  <si>
    <t>КОНСТРУКЦИИ 6х37(1+6+15+15)+1о.с.</t>
  </si>
  <si>
    <t xml:space="preserve">  ГОСТ 3081-80 </t>
  </si>
  <si>
    <t>КОНСТРУКЦИИ 6х19(1+9+9)+7х7(1+6)</t>
  </si>
  <si>
    <t xml:space="preserve">  ГОСТ 3083-80</t>
  </si>
  <si>
    <t>КОНСТРУКЦИИ 6х30(0+15+15)+7о.с.</t>
  </si>
  <si>
    <t xml:space="preserve">  ГОСТ 3089-80 </t>
  </si>
  <si>
    <t>КАНАТ ТРОЙНОЙ СВИВКИ ТИПА ЛК-Р</t>
  </si>
  <si>
    <t>КОНСТРУКЦИИ 6х7х19(1+6+6+/6)+1о.с.</t>
  </si>
  <si>
    <t xml:space="preserve">  ГОСТ 7665-80</t>
  </si>
  <si>
    <t>КАНАТ ДВОЙНОЙ СВИВКИ ТИПА ЛК-3</t>
  </si>
  <si>
    <t>КОНСТРУКЦИИ 6х25(1+6;6+12)+1о.с.</t>
  </si>
  <si>
    <t xml:space="preserve">  ГОСТ 16853-88</t>
  </si>
  <si>
    <t xml:space="preserve">            С металлическим сердечником</t>
  </si>
  <si>
    <t xml:space="preserve">               С органическим сердечником</t>
  </si>
  <si>
    <t xml:space="preserve">  ГОСТ 7667-80</t>
  </si>
  <si>
    <t>КОНСТРУКЦИИ 6х25(1+6;6+12)+7х7(1+6)</t>
  </si>
  <si>
    <t xml:space="preserve">  ГОСТ 7668-80</t>
  </si>
  <si>
    <t>КАНАТ ДВОЙНОЙ СВИВКИ ТИПА ЛК-РО</t>
  </si>
  <si>
    <t>КОНСТРУКЦИИ 6х36(1+7+7/7+14)+1о.с.</t>
  </si>
  <si>
    <t xml:space="preserve">  ГОСТ 7669-80</t>
  </si>
  <si>
    <t>КОНСТРУКЦИИ 6х36(1+7+7/7+14)+7х7(1+6)</t>
  </si>
  <si>
    <t>КАНАТ СТАЛЬНОЙ КРАНОВОЙ КОНСТРУКЦИИ</t>
  </si>
  <si>
    <t xml:space="preserve">  ГОСТ 14954-80</t>
  </si>
  <si>
    <t>КОНСТРУКЦИИ 6х19(1+6+6/6)+7х7(1+6)</t>
  </si>
  <si>
    <t xml:space="preserve">  ГОСТ 2688-80 </t>
  </si>
  <si>
    <t>КОНСТРУКЦИИ 6*19(1+6+6/6)+1о.с.</t>
  </si>
  <si>
    <t>ГОСТ 2246-70</t>
  </si>
  <si>
    <t>ГОСТ 4028-63</t>
  </si>
  <si>
    <t>ТУ 14-178-326-98</t>
  </si>
  <si>
    <t>ГВОЗДИ</t>
  </si>
  <si>
    <t>ГОСТ 4029-63</t>
  </si>
  <si>
    <t>ГОСТ 4030-63</t>
  </si>
  <si>
    <t>ГОСТ 4034-63</t>
  </si>
  <si>
    <t>ТУ 14-178-259-94</t>
  </si>
  <si>
    <t>ТУ 14-4-1161-82</t>
  </si>
  <si>
    <t>3,0-3,1</t>
  </si>
  <si>
    <t>ГОСТ 1051-73</t>
  </si>
  <si>
    <t>ГОСТ 4543-71</t>
  </si>
  <si>
    <t>ГОСТ 1414-75</t>
  </si>
  <si>
    <t>А12</t>
  </si>
  <si>
    <t>марка стали</t>
  </si>
  <si>
    <t>размер (круг), мм</t>
  </si>
  <si>
    <t>КАЛИБРОВАННАЯ СТАЛЬ</t>
  </si>
  <si>
    <t xml:space="preserve"> 60С2А,60С2</t>
  </si>
  <si>
    <t>15Х-50Х</t>
  </si>
  <si>
    <t xml:space="preserve">АРМАТУРНАЯ ХОЛОДНОДЕФОРМИР. СТАЛЬ ПЕРИДИЧЕСКОГО ПРОФИЛЯ ДЛЯ ЖБК   </t>
  </si>
  <si>
    <t>3х40</t>
  </si>
  <si>
    <t xml:space="preserve"> 10 - 50</t>
  </si>
  <si>
    <t>УТВЕРЖДАЮ</t>
  </si>
  <si>
    <t xml:space="preserve">действующие с 10 сентября 2001 г. </t>
  </si>
  <si>
    <t>ГОСТ  17305-71</t>
  </si>
  <si>
    <t>проволока  из углеродистой конструкционной стали повышенного качества</t>
  </si>
  <si>
    <t>ГОСТ 792-67</t>
  </si>
  <si>
    <t>КАНАТЫ</t>
  </si>
  <si>
    <t xml:space="preserve">ГОСТ 2688-80 </t>
  </si>
  <si>
    <t>конструкция 6х19 (1+6+6/6) + 1 о.с.</t>
  </si>
  <si>
    <t>ГОСТ 3062-80</t>
  </si>
  <si>
    <t>конструкция 1х7 (1+6)</t>
  </si>
  <si>
    <t xml:space="preserve">ГОСТ 3063-80 </t>
  </si>
  <si>
    <t>конструкция 1х19 (1+6+12)</t>
  </si>
  <si>
    <t>ГОСТ 3064-80</t>
  </si>
  <si>
    <t>конструкция1х37 (1+6+12+18)</t>
  </si>
  <si>
    <t xml:space="preserve">ГОСТ 3066-80 </t>
  </si>
  <si>
    <t>конструкция 6х7 (1+6)+1х7(1+6)</t>
  </si>
  <si>
    <t xml:space="preserve">ГОСТ 3067-80 </t>
  </si>
  <si>
    <t>конструкция 6х19 (1+6+12)+1х19(1+6+12)</t>
  </si>
  <si>
    <t>ГОСТ 3069-80</t>
  </si>
  <si>
    <t>конструкция 6х7(1+6)+1 о.с.</t>
  </si>
  <si>
    <t>ГОСТ 3070-88</t>
  </si>
  <si>
    <t>конструкция 6х19 (1+6+12)+1о.с.</t>
  </si>
  <si>
    <t>ГОСТ 3071-88</t>
  </si>
  <si>
    <t>конструкция 6х37 (1+6+12+18)+1 о.с.</t>
  </si>
  <si>
    <t xml:space="preserve">ГОСТ 3077-80 </t>
  </si>
  <si>
    <t>конструкция 6х19(1+9+9)+1о.с.</t>
  </si>
  <si>
    <t xml:space="preserve">ГОСТ 3079-80 </t>
  </si>
  <si>
    <t>конструкция 6х37 (1+6+15+15)+1о.с.</t>
  </si>
  <si>
    <t xml:space="preserve">ГОСТ 3081-80 </t>
  </si>
  <si>
    <t>конструкция 6х19(1+9+9)+7х7(1+6)</t>
  </si>
  <si>
    <t>ГОСТ 3083-80</t>
  </si>
  <si>
    <t>ГОСТ 3089-80</t>
  </si>
  <si>
    <t>конструкция 6х7х19 (1+6+6+/6)+1о.с.</t>
  </si>
  <si>
    <t>ГОСТ 7665-80</t>
  </si>
  <si>
    <t>конструкция 6х25 (1+6;6+12)+1о.с.</t>
  </si>
  <si>
    <t>ГОСТ 16853-88</t>
  </si>
  <si>
    <t>конструкция 6х31 (1+6+6/6+12)+7Х7</t>
  </si>
  <si>
    <t>ГОСТ 7667-80</t>
  </si>
  <si>
    <t>конструкция 6х25 (1+6;6+12)+7х7(1+6)</t>
  </si>
  <si>
    <t>ГОСТ 7668-80</t>
  </si>
  <si>
    <t>конструкция 6х36 (1+7+7/7+14)+1о.с.</t>
  </si>
  <si>
    <t>конструкция 6х36 (1+7+7/7+14)+7х7(1+6)</t>
  </si>
  <si>
    <t>канат стальной крановый двойной свивки</t>
  </si>
  <si>
    <t>ГОСТ 14954-80</t>
  </si>
  <si>
    <t>конструкция 6х19 (1+6+6/6)+7х7(1+6)</t>
  </si>
  <si>
    <t>СВАРОЧНЫЕ МАТЕРИАЛЫ</t>
  </si>
  <si>
    <t>гвозди строительные</t>
  </si>
  <si>
    <t>гвозди толевые круглые</t>
  </si>
  <si>
    <t>гвозди кровельные</t>
  </si>
  <si>
    <t>гвозди тарные круглые</t>
  </si>
  <si>
    <t>гвозди проволочные шиферные</t>
  </si>
  <si>
    <t>гвозди винтовые</t>
  </si>
  <si>
    <t>углеродистая качественная сталь</t>
  </si>
  <si>
    <t>легированная сталь</t>
  </si>
  <si>
    <t>КРЕПЕЖ ОБЩЕГО НАЗНАЧЕНИЯ</t>
  </si>
  <si>
    <t>5,3-5,9</t>
  </si>
  <si>
    <t>4,8-5,25</t>
  </si>
  <si>
    <t>3,6-3,75</t>
  </si>
  <si>
    <t>3,4-3,5</t>
  </si>
  <si>
    <t>3,2-3,3</t>
  </si>
  <si>
    <t>2,8-2,9</t>
  </si>
  <si>
    <t>2,6-2,75</t>
  </si>
  <si>
    <t>2,4-2,45</t>
  </si>
  <si>
    <t>2,2-2,3</t>
  </si>
  <si>
    <t>ГОСТ   5663-79</t>
  </si>
  <si>
    <t>Проволока  полиграфическая</t>
  </si>
  <si>
    <t>ГОСТ  7480-73</t>
  </si>
  <si>
    <t>проволока полиграфическая</t>
  </si>
  <si>
    <t>ГОСТ 1668-73</t>
  </si>
  <si>
    <t>ГОСТ 15892-70</t>
  </si>
  <si>
    <t>проволока перевязочная для воздушных линий связи</t>
  </si>
  <si>
    <t>проволока пружинная</t>
  </si>
  <si>
    <t>проволока для холодной высадки</t>
  </si>
  <si>
    <t>без покрытия</t>
  </si>
  <si>
    <t>КАНАТ СТАЛ. ДВОЙНОЙ СВИВКИ ТИПА ТК</t>
  </si>
  <si>
    <t>Оцинков. "Ж"</t>
  </si>
  <si>
    <t>2,5х50 (60)</t>
  </si>
  <si>
    <t>Гвозди толевые ГОСТ 4029-63</t>
  </si>
  <si>
    <t>2х20 (25)</t>
  </si>
  <si>
    <t>3,5х40</t>
  </si>
  <si>
    <t>2,5х32 (40)</t>
  </si>
  <si>
    <t>2х40 (45)</t>
  </si>
  <si>
    <t>2,2х50</t>
  </si>
  <si>
    <t>3х70 (80)</t>
  </si>
  <si>
    <t>3,5х40 - 3,5х90</t>
  </si>
  <si>
    <t>4,5х90 - 4,5х120</t>
  </si>
  <si>
    <t>4х50 - 4х120</t>
  </si>
  <si>
    <t>Цена, руб/тн</t>
  </si>
  <si>
    <t>Таблица 1</t>
  </si>
  <si>
    <t>-</t>
  </si>
  <si>
    <t>Коробка картонная 25кг</t>
  </si>
  <si>
    <t>Приплаты за дополнительные характеристики по канатам</t>
  </si>
  <si>
    <t>Базовые цены на оцинкованные канаты приведены за группу оцинкования Ж.</t>
  </si>
  <si>
    <t xml:space="preserve">Для получения цены на канат с другими характеристиками необходимо базовую цену умножить </t>
  </si>
  <si>
    <t>Покрытие</t>
  </si>
  <si>
    <t>Группа оцинкования</t>
  </si>
  <si>
    <t>Назначение</t>
  </si>
  <si>
    <t>Регистр</t>
  </si>
  <si>
    <t>Коэффициент пересчета</t>
  </si>
  <si>
    <t>Без покрытия</t>
  </si>
  <si>
    <t>Грузовой</t>
  </si>
  <si>
    <t>Без регистра</t>
  </si>
  <si>
    <t>Грузолюдской</t>
  </si>
  <si>
    <t>Горяч. оцинкование</t>
  </si>
  <si>
    <t>Ж</t>
  </si>
  <si>
    <t>ОЖ</t>
  </si>
  <si>
    <t>приплаты для канатов</t>
  </si>
  <si>
    <t>Приплаты:</t>
  </si>
  <si>
    <t>Мерная длина</t>
  </si>
  <si>
    <t>Шестигранный профиль</t>
  </si>
  <si>
    <t>Термообработка</t>
  </si>
  <si>
    <t>Промежуточный отжиг</t>
  </si>
  <si>
    <t>Размер</t>
  </si>
  <si>
    <t>Проволока перевязочная для воздушных линий связи оцинкованная</t>
  </si>
  <si>
    <t>8,0 и менее</t>
  </si>
  <si>
    <t>12,1-25,0</t>
  </si>
  <si>
    <t>25,1-35,0</t>
  </si>
  <si>
    <t>35,1 и выше</t>
  </si>
  <si>
    <t>3ПС</t>
  </si>
  <si>
    <t>Проволока  для воздушных линий связи (2 класс цинкового покрытия)</t>
  </si>
  <si>
    <t>Размерная группа</t>
  </si>
  <si>
    <t>Диаметр</t>
  </si>
  <si>
    <t>Длина</t>
  </si>
  <si>
    <t>М6</t>
  </si>
  <si>
    <t>М8</t>
  </si>
  <si>
    <t>16-49</t>
  </si>
  <si>
    <t>М10</t>
  </si>
  <si>
    <t>М12</t>
  </si>
  <si>
    <t>50-120</t>
  </si>
  <si>
    <t>М14</t>
  </si>
  <si>
    <t>М16</t>
  </si>
  <si>
    <t>М18</t>
  </si>
  <si>
    <t>М20</t>
  </si>
  <si>
    <t>М22</t>
  </si>
  <si>
    <t>М24</t>
  </si>
  <si>
    <t>30-120</t>
  </si>
  <si>
    <t>М27</t>
  </si>
  <si>
    <t>50-60</t>
  </si>
  <si>
    <t>оцинкованный</t>
  </si>
  <si>
    <t>Ф 10</t>
  </si>
  <si>
    <t>Ф 12</t>
  </si>
  <si>
    <t>Ф 14</t>
  </si>
  <si>
    <t>Ф 16</t>
  </si>
  <si>
    <t>Ф 18</t>
  </si>
  <si>
    <t>Ф 20</t>
  </si>
  <si>
    <t>Ф 22</t>
  </si>
  <si>
    <t>Ф 24</t>
  </si>
  <si>
    <t>Ф 27</t>
  </si>
  <si>
    <t>Ф 30</t>
  </si>
  <si>
    <t>Ф 36</t>
  </si>
  <si>
    <t>Ф 42</t>
  </si>
  <si>
    <t>ф5</t>
  </si>
  <si>
    <t>ф6</t>
  </si>
  <si>
    <t>ф8</t>
  </si>
  <si>
    <t>ф10</t>
  </si>
  <si>
    <t>ф 12</t>
  </si>
  <si>
    <t>Шплинты</t>
  </si>
  <si>
    <t>Ф5,0</t>
  </si>
  <si>
    <t>Ф6,3</t>
  </si>
  <si>
    <t>Ф8,0</t>
  </si>
  <si>
    <t>Ф10,0</t>
  </si>
  <si>
    <t>Болты</t>
  </si>
  <si>
    <t>Все ГОСТы</t>
  </si>
  <si>
    <t>ТУ 14-4-933-78</t>
  </si>
  <si>
    <t>ТУ 14-4-1075-80</t>
  </si>
  <si>
    <t>ТУ 1211-288-00187211</t>
  </si>
  <si>
    <t>проволока стальная отоженная для цельнометаллической пильчатой ленты</t>
  </si>
  <si>
    <t>проволока стальная для щеток</t>
  </si>
  <si>
    <t>Канат двойной свивки типа ТК конструкции 6x37(1+6+12+18)+1x37(1+6+12+18)</t>
  </si>
  <si>
    <t>ГОСТ 3068-88</t>
  </si>
  <si>
    <t>Ориент. масса 1000 м смазанного каната, кг</t>
  </si>
  <si>
    <t>ГОСТ 3085-80 И1</t>
  </si>
  <si>
    <t>ГОСТ 3088-80</t>
  </si>
  <si>
    <t>ГОСТ 16827-81</t>
  </si>
  <si>
    <t>ГОСТ 16828-81</t>
  </si>
  <si>
    <t>КАНАТЫ СТАЛЬНЫЕ АВИАЦИОННЫЕ</t>
  </si>
  <si>
    <t>ГОСТ 2172-80</t>
  </si>
  <si>
    <t>И1</t>
  </si>
  <si>
    <t>И2</t>
  </si>
  <si>
    <t>Конструкция 6х19 (1+6+6/6) + 1х19(1+6+6/6)</t>
  </si>
  <si>
    <t>2,50-3,99</t>
  </si>
  <si>
    <t>ШГ 55</t>
  </si>
  <si>
    <t>Приплата, %</t>
  </si>
  <si>
    <t xml:space="preserve">0,14-0,4 </t>
  </si>
  <si>
    <t>свыше 1,9</t>
  </si>
  <si>
    <t>ШГ55</t>
  </si>
  <si>
    <t>Болты с шестигранной головкой класса точности В</t>
  </si>
  <si>
    <t>30 - 120</t>
  </si>
  <si>
    <t>30-170</t>
  </si>
  <si>
    <t>30 - 180</t>
  </si>
  <si>
    <t>40 - 180</t>
  </si>
  <si>
    <t>60 - 180</t>
  </si>
  <si>
    <t>ГОСТ 7795-70</t>
  </si>
  <si>
    <t>Болты с шестигранной уменьшенной головкой и направляющим подголовком класса точности В</t>
  </si>
  <si>
    <t>16 - 49</t>
  </si>
  <si>
    <t>50 - 100</t>
  </si>
  <si>
    <t>40 - 120</t>
  </si>
  <si>
    <t>25 - 49</t>
  </si>
  <si>
    <t>50 - 120</t>
  </si>
  <si>
    <t>ГОСТ 7801-81</t>
  </si>
  <si>
    <t>Болты с увеличенной полукруглой головкой и квадратным подголовком класса точности С</t>
  </si>
  <si>
    <t>ГОСТ 7786-81</t>
  </si>
  <si>
    <t>Болты с потайной головкой и квадратным подголовком класса точности С</t>
  </si>
  <si>
    <t>Шайбы пружинные</t>
  </si>
  <si>
    <t>ГОСТ 10299-80</t>
  </si>
  <si>
    <t>Заклепки с полукруглой головкой классов точности В и С</t>
  </si>
  <si>
    <t>ГОСТ 10300-80</t>
  </si>
  <si>
    <t>Заклепки с плоской головкой точности В и С</t>
  </si>
  <si>
    <t>Заклепки пустотелые с полукруглой головкой</t>
  </si>
  <si>
    <t>ГОСТ 397-79</t>
  </si>
  <si>
    <t xml:space="preserve">на коэффициент пересчета (Таблица 1), соответствующий требуемым характеристикам </t>
  </si>
  <si>
    <t>ТУ 14-4-721-76</t>
  </si>
  <si>
    <t>ТУ 14-4-722-76</t>
  </si>
  <si>
    <t>Проволока винтовая</t>
  </si>
  <si>
    <t>ТУ 14-178-194-2000</t>
  </si>
  <si>
    <t>3,5*60</t>
  </si>
  <si>
    <t>4,5*90</t>
  </si>
  <si>
    <t>Проволока стальная углеродистая для изготовления ремизной проволоки</t>
  </si>
  <si>
    <t>ТУ 14-178-394-2001</t>
  </si>
  <si>
    <t>проволока для профильной заготовки пильчатой ленты с закаленным зубом</t>
  </si>
  <si>
    <t>ТУ 14-178-391-2001</t>
  </si>
  <si>
    <t>Проволока стальная канатная</t>
  </si>
  <si>
    <t>ГОСТ 7372 - 79</t>
  </si>
  <si>
    <t>Оцинкованная "Ж"</t>
  </si>
  <si>
    <t>Группа покрытия</t>
  </si>
  <si>
    <t>проволока винтовая</t>
  </si>
  <si>
    <t>проволока для изготовления ремизной проволоки</t>
  </si>
  <si>
    <t>ГОСТ 7372-79</t>
  </si>
  <si>
    <t>проволока  стальная канатная</t>
  </si>
  <si>
    <t xml:space="preserve"> </t>
  </si>
  <si>
    <t>6,0 и менее</t>
  </si>
  <si>
    <t>Канат двойной свивки типа ЛК-РО конструкции                     8х36(1+7+7/7+14) +6х19(1+9+9)1 о.с.</t>
  </si>
  <si>
    <t>Лента стальная плющеная для блоков мягкой мебели</t>
  </si>
  <si>
    <t xml:space="preserve">  ТУ 14-4-1338-85</t>
  </si>
  <si>
    <t>Размеры ленты, мм</t>
  </si>
  <si>
    <t>2,5х9,0</t>
  </si>
  <si>
    <t>2,1х10,0</t>
  </si>
  <si>
    <t>ф14</t>
  </si>
  <si>
    <t>ф16</t>
  </si>
  <si>
    <t>ТУ 14-4-1338-85</t>
  </si>
  <si>
    <t>ТУ 14-178-399-2000</t>
  </si>
  <si>
    <t>ГОСТ 3282-74,  ТУ 14-4-1563-89</t>
  </si>
  <si>
    <t>Болт</t>
  </si>
  <si>
    <t>20*45-80</t>
  </si>
  <si>
    <t>Гайка</t>
  </si>
  <si>
    <t>35,1-49</t>
  </si>
  <si>
    <t>50 и более</t>
  </si>
  <si>
    <t>Гвозди строительные ГОСТ 4028-63, ТУ14-178-326-98</t>
  </si>
  <si>
    <t>Размер, мм/упаковка</t>
  </si>
  <si>
    <t>Ящики деревянные 35-50кг</t>
  </si>
  <si>
    <t>1,2х16 - 1,2х25</t>
  </si>
  <si>
    <t>1,4х25 - 1,4х40</t>
  </si>
  <si>
    <t>1,6х25 - 1,6х50</t>
  </si>
  <si>
    <t>1,8х30 - 1,8х50</t>
  </si>
  <si>
    <t>2,00-2,45</t>
  </si>
  <si>
    <t>кл прочности 8 и 10</t>
  </si>
  <si>
    <t>ГОСТ 6727-80</t>
  </si>
  <si>
    <t>проволока н/у для ЖБК</t>
  </si>
  <si>
    <t>Кл. прочности 4.8-5.8</t>
  </si>
  <si>
    <t>Кл. прочности 8.8-10.9</t>
  </si>
  <si>
    <t xml:space="preserve"> ШГ50</t>
  </si>
  <si>
    <t>ЧЗ</t>
  </si>
  <si>
    <t>ВЗ</t>
  </si>
  <si>
    <t>Проволока из углеродистой конструкционной стали повышенного качества</t>
  </si>
  <si>
    <t>гвозди отделочные</t>
  </si>
  <si>
    <t>2,8х30 - 2,8х50</t>
  </si>
  <si>
    <t>Фосфатное покрытие</t>
  </si>
  <si>
    <t>Нормирование макроструктуры</t>
  </si>
  <si>
    <t>Нормирование микроструктуры</t>
  </si>
  <si>
    <t>Контроль механических свойств</t>
  </si>
  <si>
    <t>Нормирование твердости</t>
  </si>
  <si>
    <t>Селект по углероду и другим элементам</t>
  </si>
  <si>
    <t>Канат двойной свивки многопрядный типа ЛК-РО конструкции                 12х36(1+7+7/7+14)+6х36(1+7+7/7+14)+1 о.с.</t>
  </si>
  <si>
    <t xml:space="preserve">  ГОСТ 3083-80 </t>
  </si>
  <si>
    <t xml:space="preserve">КАНАТ ДВОЙНОЙ СВИВКИ ТИПА ЛК-О </t>
  </si>
  <si>
    <t>КОНСТРУКЦИИ 6х130(0+15+15)+7о.с.</t>
  </si>
  <si>
    <t>500 руб/тн</t>
  </si>
  <si>
    <t>Оглавление</t>
  </si>
  <si>
    <t>двойной свивки типа ТК конструкции 6x37(1+6+12+18)+1x37(1+6+12+18)</t>
  </si>
  <si>
    <r>
      <t>Приплаты</t>
    </r>
    <r>
      <rPr>
        <sz val="10"/>
        <rFont val="Arial Cyr"/>
        <family val="2"/>
        <charset val="204"/>
      </rPr>
      <t xml:space="preserve"> за повышенную точность изготовления:</t>
    </r>
  </si>
  <si>
    <r>
      <t>Приплаты</t>
    </r>
    <r>
      <rPr>
        <sz val="10"/>
        <rFont val="Arial Cyr"/>
        <charset val="204"/>
      </rPr>
      <t xml:space="preserve"> для ГОСТ 17305-71</t>
    </r>
  </si>
  <si>
    <t>ТУ 14-4-273-2002</t>
  </si>
  <si>
    <t>ТУ 14-4-625-2004</t>
  </si>
  <si>
    <t>руб/тн</t>
  </si>
  <si>
    <t>ТУ 1680-00187211-328-2003</t>
  </si>
  <si>
    <t xml:space="preserve">                           НАИМЕНОВАНИЕ ПРОДУКЦИИ</t>
  </si>
  <si>
    <t>канат двойной свивки трехграннопрядный конструкции 6x30(6+12+12)+1о.с.</t>
  </si>
  <si>
    <t>двойной свивки типа ЛК-О конструкции 6х30(0+15+15)+7 о.с.</t>
  </si>
  <si>
    <t>стальные авиационные конструкции 6х7(1+6) + 1х7(1+6)</t>
  </si>
  <si>
    <t>двойной свивки многопрядный типа ЛК-Р конструкции 18х19(1+6+6/6)+1 о.с.</t>
  </si>
  <si>
    <t>конструкция 6х19 (1+6+6/6) + 1х19(1+6+6/6)</t>
  </si>
  <si>
    <t>лента стальная плющенная для мебельной промышленности</t>
  </si>
  <si>
    <t>лента стальная плющенная для блоков мягкой мебели</t>
  </si>
  <si>
    <t>проволока  для воздушных линий связи</t>
  </si>
  <si>
    <t>проволока ОК  термонеобработанная без покрытия</t>
  </si>
  <si>
    <t>2 КЛ-А,  2КЛ -Б,  2 КЛ-В</t>
  </si>
  <si>
    <t>1 КЛ-А,  1КЛ -Б,  1 КЛ-В</t>
  </si>
  <si>
    <t>Гвозди кровельные ГОСТ 4030-63</t>
  </si>
  <si>
    <t>Гвозди тарные ГОСТ 4034-63</t>
  </si>
  <si>
    <t>Гвозди винтовые ТУ 14-4-1161-82</t>
  </si>
  <si>
    <t>Гвозди шиферные ТУ 14-178-259-94</t>
  </si>
  <si>
    <t>20-49</t>
  </si>
  <si>
    <t>ШГ 48-50</t>
  </si>
  <si>
    <t>ТУ 14-4-163-2004</t>
  </si>
  <si>
    <t>канат двойной свивки конструкции  8х36(1+7+7/7+14)+6х37+1х37</t>
  </si>
  <si>
    <t>16*32-35</t>
  </si>
  <si>
    <t>Болты с увеличенной полукруглой головкой и усом класса  точности С</t>
  </si>
  <si>
    <t xml:space="preserve">Мокрое волочение </t>
  </si>
  <si>
    <t>КОНСТРУКЦИИ 6х19(1+9+9)+1о.с. (ЛИФТОВЫЕ)</t>
  </si>
  <si>
    <t xml:space="preserve"> Цена, руб/тн</t>
  </si>
  <si>
    <t xml:space="preserve">Цена,  руб/тн </t>
  </si>
  <si>
    <t>Цена с учетом тары, руб/тн</t>
  </si>
  <si>
    <t xml:space="preserve">Цена с учетом тары, руб/1000 м </t>
  </si>
  <si>
    <t xml:space="preserve">Цена с учетом тары, руб/тн </t>
  </si>
  <si>
    <t>Ф 8</t>
  </si>
  <si>
    <t>Ф 6</t>
  </si>
  <si>
    <t>Ф 33</t>
  </si>
  <si>
    <t>ГОСТ 7802-81</t>
  </si>
  <si>
    <t>ТУ1630-016-71915393-2005</t>
  </si>
  <si>
    <t>Болты с увеличенной полукруглой головкой и квадратным подголовком уменьшенной высоты класса точности С</t>
  </si>
  <si>
    <t>Мешок, контейнер 1 тн.</t>
  </si>
  <si>
    <t>Галтовка гвоздей:</t>
  </si>
  <si>
    <t>Базовые цены на канаты приведены с учетом стоимости барабанов.</t>
  </si>
  <si>
    <t>Коробка картонная 5кг, негалтов.</t>
  </si>
  <si>
    <t>Коробка картонная 5кг, галтованные (кроме размеров 7.6, 8.0, 8.8 - негалтованные)</t>
  </si>
  <si>
    <t>Болты и гайки шестигранные со сферической опорной поверхностью</t>
  </si>
  <si>
    <t>2,0х30 - 2,2х55</t>
  </si>
  <si>
    <t>КАНАТ СТАЛЬНОЙ ТИПА ЛК-РО</t>
  </si>
  <si>
    <t>КОНСТРУКЦИИ 6х36(1+7+7/7+14)+6х7(1+6)+1х7(1+6)</t>
  </si>
  <si>
    <t>ИЗ ПЛАСТИЧЕСКИ ОБЖАТЫХ ПРЯДЕЙ</t>
  </si>
  <si>
    <t>Проволока углеродистая пружинная нормальной точности</t>
  </si>
  <si>
    <t>3,8 - 5,5</t>
  </si>
  <si>
    <t>ГОСТ 7798-70,
ГОСТ 7796-70</t>
  </si>
  <si>
    <t>СТО 71915393-ТУ 050-2007</t>
  </si>
  <si>
    <t>Проволока для изготовления игл технических</t>
  </si>
  <si>
    <t>проволока для изготовления игл технических</t>
  </si>
  <si>
    <t>4,00-4,99</t>
  </si>
  <si>
    <t xml:space="preserve">      ГОСТ 9389-75, ТУ459</t>
  </si>
  <si>
    <t>ГОСТ 9389-75, ТУ459</t>
  </si>
  <si>
    <t>35-45</t>
  </si>
  <si>
    <t>8,1-9,9</t>
  </si>
  <si>
    <t>10,0 - 12,0</t>
  </si>
  <si>
    <t>2,0х20 - 2,2х55</t>
  </si>
  <si>
    <t>2,5х55 - 3,1х80</t>
  </si>
  <si>
    <t>Снятие фаски с одной стороны</t>
  </si>
  <si>
    <t>Снятие фаски с двух сторон</t>
  </si>
  <si>
    <t>150 руб/тн</t>
  </si>
  <si>
    <t>300 руб/тн</t>
  </si>
  <si>
    <t>Г2172</t>
  </si>
  <si>
    <t>МС</t>
  </si>
  <si>
    <t>Г2688</t>
  </si>
  <si>
    <t>орг</t>
  </si>
  <si>
    <t>Г3062</t>
  </si>
  <si>
    <t>нет</t>
  </si>
  <si>
    <t>Г3063</t>
  </si>
  <si>
    <t>Г3064</t>
  </si>
  <si>
    <t>Г3066</t>
  </si>
  <si>
    <t>Г3067</t>
  </si>
  <si>
    <t>Г3068</t>
  </si>
  <si>
    <t>Г3069</t>
  </si>
  <si>
    <t>Г3070</t>
  </si>
  <si>
    <t>Г3071</t>
  </si>
  <si>
    <t>Г3077</t>
  </si>
  <si>
    <t>Г3079</t>
  </si>
  <si>
    <t>Г3081</t>
  </si>
  <si>
    <t>Г3083</t>
  </si>
  <si>
    <t>Г3085</t>
  </si>
  <si>
    <t>Г3088</t>
  </si>
  <si>
    <t>Г3089</t>
  </si>
  <si>
    <t>Г7665</t>
  </si>
  <si>
    <t>Г7667</t>
  </si>
  <si>
    <t>Г7668</t>
  </si>
  <si>
    <t>Г7669</t>
  </si>
  <si>
    <t>Г14954</t>
  </si>
  <si>
    <t>Г16827</t>
  </si>
  <si>
    <t>Г16828</t>
  </si>
  <si>
    <t>ТУ163</t>
  </si>
  <si>
    <t>ТУ273</t>
  </si>
  <si>
    <t>ТУ625</t>
  </si>
  <si>
    <t>ТУ721</t>
  </si>
  <si>
    <t>ТУ722</t>
  </si>
  <si>
    <t>Г13840</t>
  </si>
  <si>
    <t>Г3090</t>
  </si>
  <si>
    <t>Г18901</t>
  </si>
  <si>
    <t>Г7675</t>
  </si>
  <si>
    <t>Г7676</t>
  </si>
  <si>
    <t>ТУ1216</t>
  </si>
  <si>
    <t>ТУ1444</t>
  </si>
  <si>
    <t>ТУ1394</t>
  </si>
  <si>
    <t>ТУ496</t>
  </si>
  <si>
    <t>Г16853</t>
  </si>
  <si>
    <t>Стандарт</t>
  </si>
  <si>
    <t>Сердечник</t>
  </si>
  <si>
    <t>Ориент. масса 1000 м, кг</t>
  </si>
  <si>
    <t>Коммерческий директор</t>
  </si>
  <si>
    <t xml:space="preserve">В случае отсутствия цены на какой либо промежуточный размер, </t>
  </si>
  <si>
    <t>цена принимается равной цене ближайшего меньшего диаметра.</t>
  </si>
  <si>
    <t>В случае отсутствия цены на какой либо промежуточный размер, цена принимается равной цене ближайшего меньшего диаметра.</t>
  </si>
  <si>
    <t xml:space="preserve">Проволока стальная  углеродистая для холодной высадки </t>
  </si>
  <si>
    <t>ИЗ ПЛАСТИЧЕСКИ ОБЖАТЫХ ПРЯДЕЙ (Исполнение I)</t>
  </si>
  <si>
    <t>ТУ 1251-002-71915393-2004</t>
  </si>
  <si>
    <t>КАНАТ СТАЛЬНОЙ ДЛЯ КАРЬЕРНЫХ ЭКСКАВАТОРОВ</t>
  </si>
  <si>
    <t>М30</t>
  </si>
  <si>
    <t>ГОСТ  1526-81</t>
  </si>
  <si>
    <t>1,80-2,49</t>
  </si>
  <si>
    <t>ГОСТ  9850-72</t>
  </si>
  <si>
    <t>1,8-1,95</t>
  </si>
  <si>
    <t>3,6-3,65</t>
  </si>
  <si>
    <t>Стальной сердечник оцинкованный</t>
  </si>
  <si>
    <t>ТУ14-178-462-2004</t>
  </si>
  <si>
    <t>Вес</t>
  </si>
  <si>
    <t xml:space="preserve">Цена, руб/1000м </t>
  </si>
  <si>
    <t>0/19</t>
  </si>
  <si>
    <t>0/20,4</t>
  </si>
  <si>
    <t>0/24</t>
  </si>
  <si>
    <t xml:space="preserve">0/29 </t>
  </si>
  <si>
    <t>0/32</t>
  </si>
  <si>
    <t>0/34</t>
  </si>
  <si>
    <t xml:space="preserve">0/39 </t>
  </si>
  <si>
    <t>0/43</t>
  </si>
  <si>
    <t>0/51</t>
  </si>
  <si>
    <t>0/64</t>
  </si>
  <si>
    <t>0/72</t>
  </si>
  <si>
    <t>ГОСТ 285-69</t>
  </si>
  <si>
    <t>Размер проволоки, мм</t>
  </si>
  <si>
    <t xml:space="preserve">Цена, руб./тн </t>
  </si>
  <si>
    <t>светлая</t>
  </si>
  <si>
    <t xml:space="preserve">оцинкованная </t>
  </si>
  <si>
    <t xml:space="preserve"> 2,8 х 2,0</t>
  </si>
  <si>
    <t>Поволока стальная оцинкованная для проводов и кабелей "Ж"</t>
  </si>
  <si>
    <t>ТУ 14-4-1457-87</t>
  </si>
  <si>
    <t xml:space="preserve"> Цена руб/тн, без тары</t>
  </si>
  <si>
    <t>2 класс</t>
  </si>
  <si>
    <t xml:space="preserve">Проволока колючая одноосная рифленая </t>
  </si>
  <si>
    <t>1 класс</t>
  </si>
  <si>
    <t>Гвозди специального назначения</t>
  </si>
  <si>
    <t>DIN EN10230 Coils</t>
  </si>
  <si>
    <t>руб/1000 шт</t>
  </si>
  <si>
    <t>диам, мм</t>
  </si>
  <si>
    <t>длина, мм</t>
  </si>
  <si>
    <t>гладкие</t>
  </si>
  <si>
    <t xml:space="preserve">              </t>
  </si>
  <si>
    <t>ТУ 012</t>
  </si>
  <si>
    <t>оцинкованная</t>
  </si>
  <si>
    <t>т/о</t>
  </si>
  <si>
    <t>черный отжиг</t>
  </si>
  <si>
    <t>светлый отжиг</t>
  </si>
  <si>
    <t>т/н</t>
  </si>
  <si>
    <t xml:space="preserve">т/н </t>
  </si>
  <si>
    <t>Канаты стальные талевые для эксплуатац.</t>
  </si>
  <si>
    <t>с пластическим обжатия (тип 2)</t>
  </si>
  <si>
    <t>Ориент. вес 1000 м, кг</t>
  </si>
  <si>
    <t>Канат многопрядный малокрутящийся  конструкции 12х7(1+6)+6х19(1+6+6/6)+1 о.с.</t>
  </si>
  <si>
    <t>ЧЗ, ВЗ</t>
  </si>
  <si>
    <t>0,41-0,85</t>
  </si>
  <si>
    <t>0,9-1,9</t>
  </si>
  <si>
    <t>ТУ002</t>
  </si>
  <si>
    <t>ТУ049</t>
  </si>
  <si>
    <t>Т1</t>
  </si>
  <si>
    <t>Т2</t>
  </si>
  <si>
    <t>ТУ049 Ф25 Т1</t>
  </si>
  <si>
    <t>ТУ049 Ф28 Т1</t>
  </si>
  <si>
    <t>ТУ049 Ф32 Т1</t>
  </si>
  <si>
    <t>ТУ049 Ф25 Т2</t>
  </si>
  <si>
    <t>ТУ049 Ф28 Т2</t>
  </si>
  <si>
    <t>ТУ049 Ф32 Т2</t>
  </si>
  <si>
    <t>Канат двойной свивки конструкции  8х36(1+7+7/7+14)+6х37+1х37, Тип 1</t>
  </si>
  <si>
    <t>Ф18, 22</t>
  </si>
  <si>
    <t>Ф18</t>
  </si>
  <si>
    <t>ГОСТ 10301-80, ТУ327-2003</t>
  </si>
  <si>
    <t>СТО 71915393-ТУ 049-2007</t>
  </si>
  <si>
    <r>
      <t xml:space="preserve">Проволока  для ЖБК (ВР-1)
</t>
    </r>
    <r>
      <rPr>
        <b/>
        <sz val="10"/>
        <rFont val="Arial Cyr"/>
        <charset val="204"/>
      </rPr>
      <t>ГОСТ 6727-80, ТС6, ТС14, ТУ5572</t>
    </r>
  </si>
  <si>
    <r>
      <t xml:space="preserve">Проволока стальная н/у качественная </t>
    </r>
    <r>
      <rPr>
        <b/>
        <sz val="10"/>
        <rFont val="Arial Cyr"/>
        <charset val="204"/>
      </rPr>
      <t>ГОСТ 792-67</t>
    </r>
  </si>
  <si>
    <t>КС</t>
  </si>
  <si>
    <t>КО</t>
  </si>
  <si>
    <t>1,5-1,6</t>
  </si>
  <si>
    <t>ГОСТ 1526-81</t>
  </si>
  <si>
    <t>Проволока стальная качественная, оцинк. гр. "С",  для бронирования проводов и кабелей</t>
  </si>
  <si>
    <t>Проволока стальная сварочная Св08А</t>
  </si>
  <si>
    <t>Проволока  стальная оц для сердечников проводов</t>
  </si>
  <si>
    <t>на оцинкованную проволоку по ТУ 14-4-933-78  действует приплата 20%</t>
  </si>
  <si>
    <r>
      <t xml:space="preserve">Проволока н/у термонеобработанная  </t>
    </r>
    <r>
      <rPr>
        <b/>
        <sz val="10"/>
        <rFont val="Arial Cyr"/>
        <charset val="204"/>
      </rPr>
      <t>ТУ 1211-288-00187211-2006</t>
    </r>
  </si>
  <si>
    <t>ПРОВОЛОКА В/У</t>
  </si>
  <si>
    <t>ПРОВОЛОКА Н/У</t>
  </si>
  <si>
    <t>проволока сварочная Св08А</t>
  </si>
  <si>
    <t>проволока стальная оц. для сердечников проводов</t>
  </si>
  <si>
    <t>2,4х40 - 2,8х70</t>
  </si>
  <si>
    <t>3,0х35 - 3,1х90</t>
  </si>
  <si>
    <t>3,4х65 - 3,8х100</t>
  </si>
  <si>
    <t>ГОСТ 52644</t>
  </si>
  <si>
    <t>ГОСТ 52645</t>
  </si>
  <si>
    <t>ГОСТ 22354</t>
  </si>
  <si>
    <t>ГОСТ 22353</t>
  </si>
  <si>
    <t>кл. прочности 6, норм. шаг резьбы</t>
  </si>
  <si>
    <t>Гайки, шайбы</t>
  </si>
  <si>
    <t>Шплинты, заклепки</t>
  </si>
  <si>
    <t>М24 - М30</t>
  </si>
  <si>
    <t>5,00-6,00</t>
  </si>
  <si>
    <t>6,10-9,00</t>
  </si>
  <si>
    <t>0/66</t>
  </si>
  <si>
    <t>ОАО "Северсталь-метиз"</t>
  </si>
  <si>
    <t>страница</t>
  </si>
  <si>
    <t>прокат из конструкционной стали высокой обрабатываемости резанием</t>
  </si>
  <si>
    <t>канат закрытый несущий с одним слоем зетообразной проволоки и сердечником типа ТК …………………………………………………………………………………………….</t>
  </si>
  <si>
    <t>канат закрытый несущий с двумя слоями зетообразной проволоки и сердечником типа ТК …………………………………………………………………………………………….</t>
  </si>
  <si>
    <t>канат закрытый несущий с одним слоям клиновидной и одним слоем зетообразной проволоки и сердечником типа ТК ……………………………………………………………</t>
  </si>
  <si>
    <t>канат закрытый несущий с двумя слоями клиновидной и одним слоем зетообразной проволоки и сердечником типа ТК ………………………………………….</t>
  </si>
  <si>
    <t>канат двойной свивки типа ЛК-РО конструкции  8х61 (1+6;6+12+18+18) + 6х36 (1+7+7/7+14) + 1о.с. ……………………………………………………………………………..</t>
  </si>
  <si>
    <t>канат двойной свивки типа ЛК-РО конструкц. 6х36(1+7+7/7+14)+6х19(1+9+9)1 о.с.</t>
  </si>
  <si>
    <t>двойной свивки многопрядный типа ЛК-РО конструкции 12х36(1+7+7/7+14)+6х36(1+7+7/7+14)+1о.с. …………………………………………………</t>
  </si>
  <si>
    <t>двойной свивки многопрядный малокрутящийся типов ЛК-О и ЛК-Р конструкции 12х7(1+6)+6х19(1+6+6/6)+1 о.с. ……………………………………………………………….</t>
  </si>
  <si>
    <t>Канаты стальные талевые для оснастки буровых установок нефтяных и газовых скважин конструкции 6х26(1+5+5/5+10)+3х19(1+6+6/6)+3 о.з……………………………</t>
  </si>
  <si>
    <t xml:space="preserve">_______________   </t>
  </si>
  <si>
    <t>2,8х20 - 25</t>
  </si>
  <si>
    <t>Болты высокопрочные с шестигранной головкой с увеличенным размером под ключ для металлоконструкций (без покрытия и с термодиффузионным цинковым покрытием)</t>
  </si>
  <si>
    <t>Болты высокопрочные класса точности В (без покрытия и с термодиффузионным цинковым покрытием)</t>
  </si>
  <si>
    <t>25 - 90</t>
  </si>
  <si>
    <t>28 - 49</t>
  </si>
  <si>
    <t>50 - 60</t>
  </si>
  <si>
    <t>80 - 140</t>
  </si>
  <si>
    <t>ТУ14-178-432-2002</t>
  </si>
  <si>
    <t>Болты с полукруглой головкой и эллиптическим подголовником</t>
  </si>
  <si>
    <t>за нестандартную длину резьбы болтов: 3%;</t>
  </si>
  <si>
    <t>за класс точности А: 2%;</t>
  </si>
  <si>
    <t>Гайки высокопрочные шестигранные с увеличенным размером под ключ для металлоконструкций (без покрытия и с термодиффузионным цинковым покрытием)</t>
  </si>
  <si>
    <t>Гайки высокопрочные класса точности В (без покрытия и с термодиффузионным цинковым покрытием)</t>
  </si>
  <si>
    <t>ГОСТ 15523</t>
  </si>
  <si>
    <t>Гайки шестигранные высокие класса точности В</t>
  </si>
  <si>
    <t xml:space="preserve">Приплата за гайки по DIN 970: +2% </t>
  </si>
  <si>
    <t>Цена с учетом тары, руб/1000 м</t>
  </si>
  <si>
    <t>за мелкий шаг резьбы болтов и гаек: 5%;</t>
  </si>
  <si>
    <t>Гайки шестигранные класса точности А и В</t>
  </si>
  <si>
    <t>Приплата за производство болтов по DIN 931: +2%, по DIN 933:+5%</t>
  </si>
  <si>
    <t>филиал Орловский</t>
  </si>
  <si>
    <t>Череповец</t>
  </si>
  <si>
    <t>Канат двойной свивки трехграннопрядный конструкции 6x30(6+12+12)+1о.с. (СИЗАЛЬ*)</t>
  </si>
  <si>
    <t>* - приплата за сердечник из сизаля здесь включена в цену.</t>
  </si>
  <si>
    <t>СТО 71915393-ТУ 091-2010</t>
  </si>
  <si>
    <t>ИЗ ПЛАСТИЧЕСКИ ОБЖАТЫХ ПРЯДЕЙ + ОЗ (Исполнение 2)</t>
  </si>
  <si>
    <t>СТО 71915393-ТУ 090-2010</t>
  </si>
  <si>
    <t>ГОСТ 7669-80, ТУ091, ТУ090, ТУ002</t>
  </si>
  <si>
    <t>0/56</t>
  </si>
  <si>
    <t>45-145</t>
  </si>
  <si>
    <t>Смазка Nyrosten T55, Nyrosten A19/20, Elaskon SK-U</t>
  </si>
  <si>
    <t>менее Ø10 мм</t>
  </si>
  <si>
    <t>от Ø10 мм и менее Ø30 мм</t>
  </si>
  <si>
    <t>от Ø30 мм</t>
  </si>
  <si>
    <t>Приплаты применяются к цене каната с учетом всех требуемых характеристик.</t>
  </si>
  <si>
    <t>Приплата за группу оцинкования "ОЖ"   20%</t>
  </si>
  <si>
    <t>и1</t>
  </si>
  <si>
    <t>и2</t>
  </si>
  <si>
    <t>ТУ091</t>
  </si>
  <si>
    <t>ТУ090</t>
  </si>
  <si>
    <t>Череповец, филиал Орловский</t>
  </si>
  <si>
    <t xml:space="preserve">  ГОСТ 3067-88</t>
  </si>
  <si>
    <t>0/27</t>
  </si>
  <si>
    <t>Точность прокатки Н9 (вкл. обточку)</t>
  </si>
  <si>
    <t>Точность прокатки Н10</t>
  </si>
  <si>
    <t>Обточка</t>
  </si>
  <si>
    <t>за канаты с х/б сердечником</t>
  </si>
  <si>
    <t>Г10234-77</t>
  </si>
  <si>
    <t>2,5х 9,0</t>
  </si>
  <si>
    <t>за маркировочную группу 200 и выше (кроме ГОСТ2172)</t>
  </si>
  <si>
    <r>
      <t xml:space="preserve">за канаты с сердечником из сизаля </t>
    </r>
    <r>
      <rPr>
        <sz val="9"/>
        <rFont val="Arial Cyr"/>
        <charset val="204"/>
      </rPr>
      <t>(кроме талевых канатов и Г3085)</t>
    </r>
  </si>
  <si>
    <t>2,2-2,45</t>
  </si>
  <si>
    <t>1,6-1,7</t>
  </si>
  <si>
    <t>1,5 - 2,19</t>
  </si>
  <si>
    <t>2,2 - 4</t>
  </si>
  <si>
    <t>Цены на оцинкованную проволоку приведены с учетом группы</t>
  </si>
  <si>
    <t>покрытия необходимо к цене оцинкованной проволоки применить коэффициент пересчета из таблицы:</t>
  </si>
  <si>
    <t xml:space="preserve">оцинкования "Ж". Для получения цены на другие классы </t>
  </si>
  <si>
    <t>В случае отсутствия цены на какой-либо промежуточный размер, цена принимается равной цене ближайшего меньшего диаметра.</t>
  </si>
  <si>
    <t>4,2-6,0</t>
  </si>
  <si>
    <t>ТУ219-95</t>
  </si>
  <si>
    <t>Проволока колючая с двухпроволочной основой</t>
  </si>
  <si>
    <t>2,5-2,8 х 2,0</t>
  </si>
  <si>
    <t>2,4-2,5</t>
  </si>
  <si>
    <t>Проволока  стальная низкоуглеродистая общего назначения</t>
  </si>
  <si>
    <t>2,0 - 2,5</t>
  </si>
  <si>
    <t>4,0 - 5,0</t>
  </si>
  <si>
    <t>проволока  стальная н/у общего назначения</t>
  </si>
  <si>
    <t>3,8-4,5</t>
  </si>
  <si>
    <t>Шайбы высокопрочные ст.35</t>
  </si>
  <si>
    <t>ГОСТ 52646</t>
  </si>
  <si>
    <t>Ф20-30</t>
  </si>
  <si>
    <t>за экспортный барабан</t>
  </si>
  <si>
    <t>за барабан с опалубкой</t>
  </si>
  <si>
    <t>1500 руб/тн</t>
  </si>
  <si>
    <t>При заказе канатов малых длин применять приплату 15% согласно таблице:</t>
  </si>
  <si>
    <t>менее 1000 м</t>
  </si>
  <si>
    <t>менее 500 м</t>
  </si>
  <si>
    <t>менее 300 м</t>
  </si>
  <si>
    <t>диаметр каната</t>
  </si>
  <si>
    <t>длина отрезка</t>
  </si>
  <si>
    <t xml:space="preserve">При заказе серии отрезков одного типоразмера с суммарной длиной от 1000 метров на отрезки малых длин </t>
  </si>
  <si>
    <t>применять приплату 3%.</t>
  </si>
  <si>
    <t>Морской, речной регистр</t>
  </si>
  <si>
    <t>4,0х80 - 6,0х200</t>
  </si>
  <si>
    <t>6,5х180 - 8,8х400</t>
  </si>
  <si>
    <t>кл. прочности 6, мелкий шаг резьбы по ГОСТ 52628</t>
  </si>
  <si>
    <t>Канат двойной свивки типа ЛК-РО конструкции 
8х61(1+6; 6+12+18+18) + 6х36(1+7+7/7+14) +1 о.с.</t>
  </si>
  <si>
    <r>
      <t xml:space="preserve">ГОСТ 5915-70, 5927 </t>
    </r>
    <r>
      <rPr>
        <sz val="10"/>
        <rFont val="Arial"/>
        <family val="2"/>
        <charset val="204"/>
      </rPr>
      <t>(М20-М30)</t>
    </r>
    <r>
      <rPr>
        <sz val="12"/>
        <rFont val="Arial"/>
        <family val="2"/>
        <charset val="204"/>
      </rPr>
      <t>,</t>
    </r>
    <r>
      <rPr>
        <b/>
        <sz val="12"/>
        <rFont val="Arial"/>
        <family val="2"/>
        <charset val="204"/>
      </rPr>
      <t xml:space="preserve"> DIN970 </t>
    </r>
    <r>
      <rPr>
        <sz val="10"/>
        <rFont val="Arial"/>
        <family val="2"/>
        <charset val="204"/>
      </rPr>
      <t>(М20-М30)</t>
    </r>
  </si>
  <si>
    <t>за толщину цинкового покрытия 9 мкм: 2%;</t>
  </si>
  <si>
    <t>за толщину цинкового покрытия 12 мкм: 4%.</t>
  </si>
  <si>
    <t>за очистку крепежа перед горячим и термодиффузионным оцинкованием: 5%;</t>
  </si>
  <si>
    <t>С.В. Выдрин</t>
  </si>
  <si>
    <t>Оц. "Ж"</t>
  </si>
  <si>
    <t>Волгоград</t>
  </si>
  <si>
    <r>
      <t>Цена с учетом тары, руб/</t>
    </r>
    <r>
      <rPr>
        <b/>
        <sz val="10"/>
        <rFont val="Arial Cyr"/>
        <charset val="204"/>
      </rPr>
      <t xml:space="preserve">1000 м </t>
    </r>
  </si>
  <si>
    <r>
      <t>Цена с учетом тары, руб/</t>
    </r>
    <r>
      <rPr>
        <b/>
        <sz val="10"/>
        <rFont val="Arial Cyr"/>
        <charset val="204"/>
      </rPr>
      <t>1000 м</t>
    </r>
    <r>
      <rPr>
        <sz val="10"/>
        <rFont val="Arial Cyr"/>
        <family val="2"/>
        <charset val="204"/>
      </rPr>
      <t xml:space="preserve"> </t>
    </r>
  </si>
  <si>
    <t>3,0 - 8,0</t>
  </si>
  <si>
    <t>Делёжка проволоки</t>
  </si>
  <si>
    <t>3000 руб/тн</t>
  </si>
  <si>
    <r>
      <t xml:space="preserve">Цена, руб/тн </t>
    </r>
    <r>
      <rPr>
        <b/>
        <sz val="10"/>
        <rFont val="Arial Cyr"/>
        <charset val="204"/>
      </rPr>
      <t>(Череповец)</t>
    </r>
  </si>
  <si>
    <t>Ориентировочная масса 1000 м, кг</t>
  </si>
  <si>
    <t>0/204</t>
  </si>
  <si>
    <t>Исполнение 1</t>
  </si>
  <si>
    <t>50 - 240</t>
  </si>
  <si>
    <t>исполнение*</t>
  </si>
  <si>
    <t>Л, Н, Т, ОТ</t>
  </si>
  <si>
    <t>Л, Н, ОТ</t>
  </si>
  <si>
    <t>Л, Н, Т</t>
  </si>
  <si>
    <t>Н</t>
  </si>
  <si>
    <t>Хим. фосфатирование с промасливанием</t>
  </si>
  <si>
    <t>* Л- легкое, Н - нормальное, Т-тяжелое, ОТ - особо тяжелое</t>
  </si>
  <si>
    <t>0/93</t>
  </si>
  <si>
    <t>Смазка Торсиол 55</t>
  </si>
  <si>
    <t>2,0х120</t>
  </si>
  <si>
    <t>Гвозди формовочные ТУ029</t>
  </si>
  <si>
    <t>Череповец, ФО</t>
  </si>
  <si>
    <t>50 - 105</t>
  </si>
  <si>
    <t>110 - 240</t>
  </si>
  <si>
    <t>55 - 105</t>
  </si>
  <si>
    <t>60 - 105</t>
  </si>
  <si>
    <t>70 - 105</t>
  </si>
  <si>
    <t>75 - 105</t>
  </si>
  <si>
    <t>40 - 140</t>
  </si>
  <si>
    <t>50-70</t>
  </si>
  <si>
    <t>12-49</t>
  </si>
  <si>
    <t>14-49</t>
  </si>
  <si>
    <t>20-40</t>
  </si>
  <si>
    <t>40 - 240</t>
  </si>
  <si>
    <t>50-100</t>
  </si>
  <si>
    <t>ф20, 24</t>
  </si>
  <si>
    <t>35 - 200</t>
  </si>
  <si>
    <t>c 01 сентября 2012 г.</t>
  </si>
  <si>
    <t>за канаты с пеньковым сердечником (кроме Г3088)</t>
  </si>
  <si>
    <t>* - приплата за пеньковый сердечник здесь включена в цену.</t>
  </si>
  <si>
    <t>Канат двойной свивки многопрядный типа ЛК-Р конструкции 18х19(1+6+6/6)+1 о.с. (ПЕНЬКА*)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</si>
</sst>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0.0"/>
    <numFmt numFmtId="167" formatCode="#,##0.0"/>
    <numFmt numFmtId="168" formatCode="_-* #,##0.000_р_._-;\-* #,##0.000_р_._-;_-* &quot;-&quot;??_р_._-;_-@_-"/>
    <numFmt numFmtId="169" formatCode="_-* #,##0.00000_р_._-;\-* #,##0.00000_р_._-;_-* &quot;-&quot;??_р_._-;_-@_-"/>
    <numFmt numFmtId="170" formatCode="_-* #,##0.000_р_._-;\-* #,##0.000_р_._-;_-* &quot;-&quot;???_р_._-;_-@_-"/>
    <numFmt numFmtId="171" formatCode="#,##0.000"/>
    <numFmt numFmtId="172" formatCode="0.0%"/>
    <numFmt numFmtId="173" formatCode="0.0%;&quot;-&quot;;&quot;-&quot;"/>
    <numFmt numFmtId="174" formatCode="#,##0;\-#,##0;\-"/>
    <numFmt numFmtId="175" formatCode="#,##0.00;\-#,##0.00;\-"/>
    <numFmt numFmtId="176" formatCode="0;\-0;0;@*."/>
    <numFmt numFmtId="177" formatCode="@*."/>
    <numFmt numFmtId="178" formatCode="_)0"/>
    <numFmt numFmtId="179" formatCode="\+0%"/>
    <numFmt numFmtId="180" formatCode="_-* #,##0_ _ ;\-_-* #,##0_ _ ;&quot;-&quot;;_(@_)"/>
    <numFmt numFmtId="181" formatCode="#,##0_ ;[Red]\-#,##0\ "/>
    <numFmt numFmtId="182" formatCode="_-* #,##0.0000_р_._-;\-* #,##0.0000_р_._-;_-* &quot;-&quot;??_р_._-;_-@_-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22"/>
      <name val="Arial Cyr"/>
      <family val="2"/>
      <charset val="204"/>
    </font>
    <font>
      <sz val="10"/>
      <color indexed="10"/>
      <name val="Arial Cyr"/>
      <charset val="204"/>
    </font>
    <font>
      <b/>
      <sz val="12"/>
      <name val="Arial Cyr"/>
      <family val="2"/>
      <charset val="204"/>
    </font>
    <font>
      <sz val="11"/>
      <name val="Arial"/>
      <family val="2"/>
      <charset val="204"/>
    </font>
    <font>
      <sz val="16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9"/>
      <name val="Arial Cyr"/>
      <family val="2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10"/>
      <color indexed="8"/>
      <name val="Arial Cyr"/>
      <family val="2"/>
      <charset val="204"/>
    </font>
    <font>
      <sz val="16"/>
      <name val="Arial Cyr"/>
      <charset val="204"/>
    </font>
    <font>
      <sz val="10"/>
      <color indexed="12"/>
      <name val="Arial Cyr"/>
      <charset val="204"/>
    </font>
    <font>
      <sz val="10"/>
      <color indexed="12"/>
      <name val="Arial Cyr"/>
      <family val="2"/>
      <charset val="204"/>
    </font>
    <font>
      <sz val="10"/>
      <name val="Arial Cyr"/>
      <charset val="204"/>
    </font>
    <font>
      <sz val="13"/>
      <name val="Arial Cyr"/>
      <family val="2"/>
      <charset val="204"/>
    </font>
    <font>
      <sz val="10"/>
      <name val="Arial CYR"/>
    </font>
    <font>
      <sz val="14"/>
      <name val="Mistral"/>
      <family val="4"/>
      <charset val="204"/>
    </font>
    <font>
      <sz val="9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7">
    <xf numFmtId="0" fontId="0" fillId="0" borderId="0" xfId="0"/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3" xfId="9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4" fontId="2" fillId="0" borderId="0" xfId="9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2" fillId="0" borderId="0" xfId="9" applyNumberFormat="1" applyFont="1" applyFill="1" applyBorder="1" applyAlignment="1">
      <alignment horizontal="center"/>
    </xf>
    <xf numFmtId="0" fontId="0" fillId="0" borderId="0" xfId="0" applyFill="1"/>
    <xf numFmtId="1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/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2" fillId="0" borderId="0" xfId="9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14" fontId="6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9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64" fontId="12" fillId="0" borderId="3" xfId="9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0" fontId="20" fillId="0" borderId="0" xfId="0" applyFont="1" applyFill="1" applyBorder="1" applyAlignment="1">
      <alignment horizontal="left" vertical="center" wrapText="1"/>
    </xf>
    <xf numFmtId="3" fontId="20" fillId="0" borderId="0" xfId="9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165" fontId="2" fillId="0" borderId="0" xfId="9" applyNumberFormat="1" applyFont="1" applyFill="1" applyBorder="1" applyAlignment="1">
      <alignment horizontal="center" vertical="center" wrapText="1"/>
    </xf>
    <xf numFmtId="0" fontId="4" fillId="0" borderId="0" xfId="1" applyFill="1" applyAlignment="1" applyProtection="1"/>
    <xf numFmtId="164" fontId="12" fillId="0" borderId="0" xfId="9" applyNumberFormat="1" applyFont="1" applyFill="1" applyBorder="1"/>
    <xf numFmtId="164" fontId="12" fillId="0" borderId="3" xfId="9" applyNumberFormat="1" applyFont="1" applyFill="1" applyBorder="1"/>
    <xf numFmtId="164" fontId="12" fillId="0" borderId="4" xfId="9" applyNumberFormat="1" applyFont="1" applyFill="1" applyBorder="1"/>
    <xf numFmtId="164" fontId="2" fillId="0" borderId="3" xfId="11" applyNumberFormat="1" applyFont="1" applyFill="1" applyBorder="1" applyAlignment="1">
      <alignment vertical="center"/>
    </xf>
    <xf numFmtId="164" fontId="1" fillId="0" borderId="0" xfId="11" applyNumberFormat="1" applyFill="1" applyBorder="1"/>
    <xf numFmtId="164" fontId="2" fillId="0" borderId="0" xfId="11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2" fontId="15" fillId="0" borderId="0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164" fontId="12" fillId="0" borderId="0" xfId="9" applyNumberFormat="1" applyFont="1" applyFill="1" applyAlignment="1">
      <alignment horizontal="center"/>
    </xf>
    <xf numFmtId="0" fontId="1" fillId="0" borderId="0" xfId="0" applyFont="1" applyFill="1"/>
    <xf numFmtId="49" fontId="12" fillId="0" borderId="0" xfId="9" applyNumberFormat="1" applyFont="1" applyFill="1" applyBorder="1" applyAlignment="1">
      <alignment horizontal="center"/>
    </xf>
    <xf numFmtId="164" fontId="12" fillId="0" borderId="0" xfId="9" applyNumberFormat="1" applyFont="1" applyFill="1" applyBorder="1" applyAlignment="1">
      <alignment horizontal="center" vertical="center"/>
    </xf>
    <xf numFmtId="164" fontId="12" fillId="0" borderId="0" xfId="9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/>
    <xf numFmtId="9" fontId="2" fillId="0" borderId="0" xfId="8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20" fillId="0" borderId="0" xfId="0" applyFont="1" applyFill="1"/>
    <xf numFmtId="14" fontId="12" fillId="0" borderId="0" xfId="0" applyNumberFormat="1" applyFont="1" applyFill="1" applyAlignment="1">
      <alignment horizontal="right"/>
    </xf>
    <xf numFmtId="164" fontId="1" fillId="0" borderId="0" xfId="9" applyNumberFormat="1" applyFill="1" applyBorder="1"/>
    <xf numFmtId="165" fontId="0" fillId="0" borderId="0" xfId="9" applyNumberFormat="1" applyFont="1" applyFill="1" applyBorder="1"/>
    <xf numFmtId="164" fontId="0" fillId="0" borderId="0" xfId="9" applyNumberFormat="1" applyFont="1" applyFill="1" applyBorder="1"/>
    <xf numFmtId="164" fontId="2" fillId="0" borderId="5" xfId="9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164" fontId="2" fillId="0" borderId="0" xfId="9" applyNumberFormat="1" applyFont="1" applyFill="1" applyBorder="1" applyAlignment="1">
      <alignment horizontal="center" wrapText="1"/>
    </xf>
    <xf numFmtId="164" fontId="0" fillId="0" borderId="0" xfId="9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1" fillId="0" borderId="0" xfId="9" applyNumberFormat="1" applyFill="1" applyBorder="1"/>
    <xf numFmtId="165" fontId="1" fillId="0" borderId="0" xfId="9" applyNumberFormat="1" applyFont="1" applyFill="1" applyBorder="1"/>
    <xf numFmtId="164" fontId="19" fillId="0" borderId="0" xfId="9" applyNumberFormat="1" applyFont="1" applyFill="1" applyBorder="1" applyAlignment="1">
      <alignment horizontal="center"/>
    </xf>
    <xf numFmtId="14" fontId="12" fillId="0" borderId="0" xfId="0" applyNumberFormat="1" applyFont="1" applyFill="1"/>
    <xf numFmtId="43" fontId="12" fillId="0" borderId="0" xfId="9" applyNumberFormat="1" applyFont="1" applyFill="1" applyBorder="1"/>
    <xf numFmtId="0" fontId="0" fillId="0" borderId="0" xfId="0" applyFill="1" applyAlignment="1">
      <alignment wrapText="1"/>
    </xf>
    <xf numFmtId="43" fontId="0" fillId="0" borderId="0" xfId="9" applyFont="1" applyFill="1"/>
    <xf numFmtId="0" fontId="20" fillId="0" borderId="0" xfId="0" applyFont="1" applyFill="1" applyBorder="1"/>
    <xf numFmtId="169" fontId="6" fillId="0" borderId="0" xfId="9" applyNumberFormat="1" applyFont="1" applyFill="1"/>
    <xf numFmtId="0" fontId="21" fillId="0" borderId="0" xfId="0" applyFont="1" applyFill="1"/>
    <xf numFmtId="164" fontId="1" fillId="0" borderId="0" xfId="9" applyNumberFormat="1" applyFill="1"/>
    <xf numFmtId="164" fontId="20" fillId="0" borderId="0" xfId="9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vertical="center" wrapText="1"/>
    </xf>
    <xf numFmtId="2" fontId="0" fillId="0" borderId="0" xfId="0" applyNumberFormat="1" applyFill="1" applyBorder="1" applyAlignment="1">
      <alignment horizontal="left"/>
    </xf>
    <xf numFmtId="0" fontId="20" fillId="0" borderId="0" xfId="9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164" fontId="2" fillId="0" borderId="0" xfId="9" applyNumberFormat="1" applyFont="1" applyFill="1"/>
    <xf numFmtId="170" fontId="0" fillId="0" borderId="0" xfId="0" applyNumberFormat="1" applyFill="1"/>
    <xf numFmtId="172" fontId="0" fillId="0" borderId="0" xfId="8" applyNumberFormat="1" applyFont="1" applyFill="1"/>
    <xf numFmtId="164" fontId="0" fillId="0" borderId="0" xfId="0" applyNumberFormat="1" applyFill="1" applyAlignment="1">
      <alignment vertical="center"/>
    </xf>
    <xf numFmtId="43" fontId="2" fillId="0" borderId="0" xfId="9" applyFont="1" applyFill="1" applyBorder="1" applyAlignment="1">
      <alignment horizontal="center"/>
    </xf>
    <xf numFmtId="164" fontId="20" fillId="0" borderId="0" xfId="9" applyNumberFormat="1" applyFont="1" applyFill="1"/>
    <xf numFmtId="164" fontId="0" fillId="0" borderId="0" xfId="9" applyNumberFormat="1" applyFont="1" applyFill="1"/>
    <xf numFmtId="0" fontId="0" fillId="0" borderId="0" xfId="0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9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3" fontId="2" fillId="0" borderId="8" xfId="9" applyNumberFormat="1" applyFont="1" applyFill="1" applyBorder="1" applyAlignment="1">
      <alignment horizontal="center"/>
    </xf>
    <xf numFmtId="164" fontId="1" fillId="0" borderId="8" xfId="9" applyNumberFormat="1" applyFill="1" applyBorder="1"/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64" fontId="1" fillId="0" borderId="0" xfId="2" applyNumberForma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vertical="center" wrapText="1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2" applyFill="1"/>
    <xf numFmtId="0" fontId="25" fillId="0" borderId="0" xfId="0" applyFont="1" applyFill="1" applyBorder="1" applyAlignment="1">
      <alignment horizontal="left"/>
    </xf>
    <xf numFmtId="14" fontId="2" fillId="0" borderId="0" xfId="0" applyNumberFormat="1" applyFont="1" applyFill="1" applyBorder="1"/>
    <xf numFmtId="43" fontId="2" fillId="0" borderId="0" xfId="9" applyFont="1" applyFill="1" applyBorder="1"/>
    <xf numFmtId="43" fontId="12" fillId="0" borderId="8" xfId="9" applyNumberFormat="1" applyFont="1" applyFill="1" applyBorder="1"/>
    <xf numFmtId="14" fontId="1" fillId="0" borderId="0" xfId="2" applyNumberFormat="1" applyFill="1"/>
    <xf numFmtId="165" fontId="1" fillId="0" borderId="0" xfId="10" applyNumberFormat="1" applyFill="1" applyBorder="1"/>
    <xf numFmtId="164" fontId="1" fillId="0" borderId="0" xfId="10" applyNumberFormat="1" applyFill="1" applyBorder="1"/>
    <xf numFmtId="0" fontId="1" fillId="0" borderId="0" xfId="2" applyFont="1" applyFill="1"/>
    <xf numFmtId="0" fontId="2" fillId="0" borderId="0" xfId="2" applyFont="1" applyFill="1" applyBorder="1" applyAlignment="1">
      <alignment horizontal="center" vertical="center"/>
    </xf>
    <xf numFmtId="0" fontId="6" fillId="0" borderId="0" xfId="0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/>
    </xf>
    <xf numFmtId="168" fontId="12" fillId="0" borderId="0" xfId="9" applyNumberFormat="1" applyFont="1" applyFill="1" applyBorder="1"/>
    <xf numFmtId="165" fontId="12" fillId="0" borderId="0" xfId="9" applyNumberFormat="1" applyFont="1" applyFill="1" applyBorder="1"/>
    <xf numFmtId="43" fontId="2" fillId="0" borderId="8" xfId="9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9" fontId="2" fillId="0" borderId="0" xfId="8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8" applyNumberFormat="1" applyFont="1" applyFill="1" applyAlignment="1">
      <alignment horizontal="center"/>
    </xf>
    <xf numFmtId="173" fontId="0" fillId="0" borderId="0" xfId="8" applyNumberFormat="1" applyFont="1" applyFill="1" applyAlignment="1">
      <alignment horizontal="center"/>
    </xf>
    <xf numFmtId="4" fontId="0" fillId="0" borderId="0" xfId="8" applyNumberFormat="1" applyFont="1" applyFill="1"/>
    <xf numFmtId="2" fontId="0" fillId="0" borderId="0" xfId="8" applyNumberFormat="1" applyFont="1" applyFill="1"/>
    <xf numFmtId="4" fontId="0" fillId="0" borderId="0" xfId="8" applyNumberFormat="1" applyFont="1" applyFill="1" applyAlignment="1">
      <alignment horizontal="center"/>
    </xf>
    <xf numFmtId="9" fontId="0" fillId="0" borderId="0" xfId="8" applyFont="1" applyFill="1" applyAlignment="1">
      <alignment horizontal="center"/>
    </xf>
    <xf numFmtId="0" fontId="8" fillId="0" borderId="0" xfId="2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12" fillId="0" borderId="0" xfId="9" applyNumberFormat="1" applyFont="1" applyFill="1" applyBorder="1" applyAlignment="1">
      <alignment horizontal="center" vertical="top" wrapText="1"/>
    </xf>
    <xf numFmtId="164" fontId="12" fillId="0" borderId="4" xfId="9" applyNumberFormat="1" applyFont="1" applyFill="1" applyBorder="1" applyAlignment="1">
      <alignment horizontal="center"/>
    </xf>
    <xf numFmtId="3" fontId="12" fillId="0" borderId="0" xfId="9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1" fillId="0" borderId="0" xfId="6" applyFill="1"/>
    <xf numFmtId="0" fontId="15" fillId="0" borderId="0" xfId="6" applyFont="1" applyFill="1"/>
    <xf numFmtId="0" fontId="1" fillId="0" borderId="0" xfId="6" applyFont="1" applyFill="1"/>
    <xf numFmtId="9" fontId="1" fillId="0" borderId="0" xfId="8" applyFill="1"/>
    <xf numFmtId="1" fontId="1" fillId="0" borderId="0" xfId="6" applyNumberFormat="1" applyFill="1"/>
    <xf numFmtId="0" fontId="1" fillId="0" borderId="0" xfId="8" applyNumberFormat="1" applyFill="1"/>
    <xf numFmtId="10" fontId="1" fillId="0" borderId="0" xfId="8" applyNumberFormat="1" applyFill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9" fontId="2" fillId="0" borderId="0" xfId="8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9" fontId="0" fillId="0" borderId="0" xfId="8" applyFont="1" applyAlignment="1">
      <alignment horizontal="center"/>
    </xf>
    <xf numFmtId="9" fontId="2" fillId="0" borderId="0" xfId="8" applyNumberFormat="1" applyFont="1" applyFill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 wrapText="1" shrinkToFit="1"/>
    </xf>
    <xf numFmtId="2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vertical="center"/>
    </xf>
    <xf numFmtId="3" fontId="2" fillId="0" borderId="0" xfId="1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center" wrapText="1"/>
    </xf>
    <xf numFmtId="3" fontId="1" fillId="0" borderId="0" xfId="9" applyNumberFormat="1" applyFill="1" applyBorder="1" applyAlignment="1">
      <alignment horizontal="center"/>
    </xf>
    <xf numFmtId="164" fontId="12" fillId="0" borderId="10" xfId="9" applyNumberFormat="1" applyFont="1" applyFill="1" applyBorder="1" applyAlignment="1">
      <alignment horizontal="center"/>
    </xf>
    <xf numFmtId="10" fontId="2" fillId="0" borderId="0" xfId="8" applyNumberFormat="1" applyFont="1" applyFill="1" applyAlignment="1">
      <alignment horizontal="center" vertical="center"/>
    </xf>
    <xf numFmtId="175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0" fillId="3" borderId="0" xfId="0" applyFill="1"/>
    <xf numFmtId="0" fontId="7" fillId="3" borderId="0" xfId="0" applyFont="1" applyFill="1"/>
    <xf numFmtId="17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0" fillId="3" borderId="0" xfId="0" applyFill="1" applyBorder="1"/>
    <xf numFmtId="0" fontId="9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0" fillId="3" borderId="0" xfId="0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4" fillId="0" borderId="0" xfId="1" applyFont="1" applyFill="1" applyBorder="1" applyAlignment="1" applyProtection="1">
      <alignment vertical="center"/>
    </xf>
    <xf numFmtId="0" fontId="34" fillId="0" borderId="0" xfId="1" applyFont="1" applyFill="1" applyBorder="1" applyAlignment="1" applyProtection="1">
      <alignment horizontal="left" vertical="center"/>
    </xf>
    <xf numFmtId="0" fontId="34" fillId="0" borderId="0" xfId="1" applyFont="1" applyFill="1" applyBorder="1" applyAlignment="1" applyProtection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vertical="center" wrapText="1"/>
    </xf>
    <xf numFmtId="177" fontId="33" fillId="0" borderId="0" xfId="1" applyNumberFormat="1" applyFont="1" applyFill="1" applyBorder="1" applyAlignment="1" applyProtection="1">
      <alignment horizontal="left" vertical="center"/>
    </xf>
    <xf numFmtId="178" fontId="24" fillId="0" borderId="0" xfId="0" applyNumberFormat="1" applyFont="1" applyFill="1" applyBorder="1" applyAlignment="1">
      <alignment horizontal="left"/>
    </xf>
    <xf numFmtId="0" fontId="34" fillId="0" borderId="0" xfId="1" applyFont="1" applyFill="1" applyBorder="1" applyAlignment="1" applyProtection="1">
      <alignment vertical="top"/>
    </xf>
    <xf numFmtId="0" fontId="34" fillId="0" borderId="0" xfId="1" applyFont="1" applyFill="1" applyBorder="1" applyAlignment="1" applyProtection="1">
      <alignment horizontal="left" vertical="top"/>
    </xf>
    <xf numFmtId="0" fontId="33" fillId="0" borderId="0" xfId="1" applyFont="1" applyFill="1" applyBorder="1" applyAlignment="1" applyProtection="1">
      <alignment vertical="top"/>
    </xf>
    <xf numFmtId="0" fontId="33" fillId="0" borderId="0" xfId="1" applyFont="1" applyFill="1" applyBorder="1" applyAlignment="1" applyProtection="1">
      <alignment horizontal="left" vertical="top"/>
    </xf>
    <xf numFmtId="0" fontId="33" fillId="0" borderId="0" xfId="1" applyFont="1" applyBorder="1" applyAlignment="1" applyProtection="1">
      <alignment vertical="top"/>
    </xf>
    <xf numFmtId="0" fontId="33" fillId="0" borderId="0" xfId="1" applyFont="1" applyFill="1" applyBorder="1" applyAlignment="1" applyProtection="1">
      <alignment vertical="top" wrapText="1"/>
    </xf>
    <xf numFmtId="0" fontId="33" fillId="0" borderId="0" xfId="1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6" fillId="3" borderId="0" xfId="0" applyFont="1" applyFill="1"/>
    <xf numFmtId="0" fontId="7" fillId="3" borderId="0" xfId="0" applyFont="1" applyFill="1" applyAlignment="1">
      <alignment horizontal="right"/>
    </xf>
    <xf numFmtId="164" fontId="12" fillId="0" borderId="0" xfId="9" applyNumberFormat="1" applyFont="1" applyFill="1" applyBorder="1" applyAlignment="1">
      <alignment horizontal="left"/>
    </xf>
    <xf numFmtId="3" fontId="6" fillId="0" borderId="0" xfId="7" applyNumberFormat="1" applyFont="1" applyFill="1" applyBorder="1" applyAlignment="1">
      <alignment horizontal="center" vertical="center"/>
    </xf>
    <xf numFmtId="172" fontId="2" fillId="0" borderId="0" xfId="8" applyNumberFormat="1" applyFont="1" applyFill="1" applyAlignment="1">
      <alignment horizontal="center" vertical="center"/>
    </xf>
    <xf numFmtId="167" fontId="0" fillId="0" borderId="0" xfId="9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168" fontId="1" fillId="0" borderId="0" xfId="9" applyNumberFormat="1" applyFill="1" applyBorder="1"/>
    <xf numFmtId="14" fontId="12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ill="1"/>
    <xf numFmtId="9" fontId="0" fillId="0" borderId="0" xfId="0" applyNumberFormat="1" applyFill="1" applyBorder="1" applyAlignment="1">
      <alignment horizontal="center"/>
    </xf>
    <xf numFmtId="180" fontId="20" fillId="0" borderId="0" xfId="9" applyNumberFormat="1" applyFont="1" applyFill="1"/>
    <xf numFmtId="0" fontId="20" fillId="0" borderId="0" xfId="9" applyNumberFormat="1" applyFont="1" applyFill="1"/>
    <xf numFmtId="0" fontId="38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4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9" fontId="2" fillId="0" borderId="11" xfId="0" applyNumberFormat="1" applyFont="1" applyFill="1" applyBorder="1" applyAlignment="1">
      <alignment horizontal="center"/>
    </xf>
    <xf numFmtId="166" fontId="2" fillId="0" borderId="11" xfId="2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5" fillId="0" borderId="11" xfId="2" applyFont="1" applyFill="1" applyBorder="1" applyAlignment="1">
      <alignment horizontal="center" vertical="center" wrapText="1"/>
    </xf>
    <xf numFmtId="2" fontId="7" fillId="0" borderId="11" xfId="2" applyNumberFormat="1" applyFont="1" applyFill="1" applyBorder="1" applyAlignment="1">
      <alignment horizontal="center"/>
    </xf>
    <xf numFmtId="3" fontId="2" fillId="0" borderId="11" xfId="9" applyNumberFormat="1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left" vertical="center" wrapText="1" shrinkToFit="1"/>
    </xf>
    <xf numFmtId="0" fontId="2" fillId="0" borderId="11" xfId="2" applyFont="1" applyFill="1" applyBorder="1" applyAlignment="1">
      <alignment horizontal="center"/>
    </xf>
    <xf numFmtId="164" fontId="2" fillId="0" borderId="11" xfId="10" applyNumberFormat="1" applyFont="1" applyFill="1" applyBorder="1" applyAlignment="1">
      <alignment horizontal="center" vertical="center" wrapText="1"/>
    </xf>
    <xf numFmtId="164" fontId="2" fillId="0" borderId="11" xfId="9" applyNumberFormat="1" applyFon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164" fontId="2" fillId="0" borderId="1" xfId="9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64" fontId="2" fillId="0" borderId="1" xfId="9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/>
    <xf numFmtId="2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/>
    </xf>
    <xf numFmtId="3" fontId="2" fillId="0" borderId="1" xfId="9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/>
    </xf>
    <xf numFmtId="17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shrinkToFit="1"/>
    </xf>
    <xf numFmtId="179" fontId="0" fillId="0" borderId="1" xfId="0" applyNumberForma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65" fontId="1" fillId="0" borderId="1" xfId="9" applyNumberFormat="1" applyFill="1" applyBorder="1"/>
    <xf numFmtId="164" fontId="1" fillId="0" borderId="1" xfId="9" applyNumberFormat="1" applyFill="1" applyBorder="1"/>
    <xf numFmtId="165" fontId="2" fillId="0" borderId="1" xfId="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5" fontId="0" fillId="0" borderId="1" xfId="9" applyNumberFormat="1" applyFont="1" applyFill="1" applyBorder="1"/>
    <xf numFmtId="166" fontId="2" fillId="0" borderId="4" xfId="0" applyNumberFormat="1" applyFont="1" applyFill="1" applyBorder="1" applyAlignment="1">
      <alignment horizontal="center" vertical="center"/>
    </xf>
    <xf numFmtId="164" fontId="2" fillId="0" borderId="4" xfId="9" applyNumberFormat="1" applyFont="1" applyFill="1" applyBorder="1" applyAlignment="1">
      <alignment horizontal="center" vertical="center"/>
    </xf>
    <xf numFmtId="164" fontId="2" fillId="0" borderId="4" xfId="11" applyNumberFormat="1" applyFont="1" applyFill="1" applyBorder="1" applyAlignment="1">
      <alignment vertical="center"/>
    </xf>
    <xf numFmtId="164" fontId="2" fillId="0" borderId="1" xfId="11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1" fillId="0" borderId="1" xfId="9" applyNumberFormat="1" applyFont="1" applyFill="1" applyBorder="1"/>
    <xf numFmtId="166" fontId="2" fillId="0" borderId="11" xfId="0" applyNumberFormat="1" applyFont="1" applyFill="1" applyBorder="1" applyAlignment="1">
      <alignment horizontal="center"/>
    </xf>
    <xf numFmtId="164" fontId="1" fillId="0" borderId="11" xfId="9" applyNumberForma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4" fillId="0" borderId="1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167" fontId="2" fillId="0" borderId="11" xfId="0" applyNumberFormat="1" applyFont="1" applyFill="1" applyBorder="1" applyAlignment="1">
      <alignment horizontal="center" wrapText="1"/>
    </xf>
    <xf numFmtId="166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67" fontId="0" fillId="0" borderId="1" xfId="9" applyNumberFormat="1" applyFont="1" applyFill="1" applyBorder="1" applyAlignment="1">
      <alignment horizontal="center"/>
    </xf>
    <xf numFmtId="164" fontId="1" fillId="0" borderId="1" xfId="11" applyNumberFormat="1" applyFill="1" applyBorder="1"/>
    <xf numFmtId="165" fontId="2" fillId="0" borderId="1" xfId="9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66" fontId="2" fillId="0" borderId="24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64" fontId="1" fillId="0" borderId="24" xfId="9" applyNumberFormat="1" applyFill="1" applyBorder="1"/>
    <xf numFmtId="0" fontId="2" fillId="0" borderId="25" xfId="0" applyFont="1" applyFill="1" applyBorder="1" applyAlignment="1">
      <alignment horizontal="left"/>
    </xf>
    <xf numFmtId="1" fontId="2" fillId="0" borderId="26" xfId="0" applyNumberFormat="1" applyFont="1" applyFill="1" applyBorder="1" applyAlignment="1">
      <alignment horizontal="center"/>
    </xf>
    <xf numFmtId="164" fontId="2" fillId="0" borderId="26" xfId="9" applyNumberFormat="1" applyFont="1" applyFill="1" applyBorder="1" applyAlignment="1">
      <alignment horizontal="center" vertical="center"/>
    </xf>
    <xf numFmtId="164" fontId="1" fillId="0" borderId="26" xfId="9" applyNumberFormat="1" applyFill="1" applyBorder="1"/>
    <xf numFmtId="164" fontId="2" fillId="0" borderId="27" xfId="9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6" fontId="2" fillId="0" borderId="29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4" fontId="1" fillId="0" borderId="28" xfId="9" applyNumberFormat="1" applyFill="1" applyBorder="1"/>
    <xf numFmtId="166" fontId="2" fillId="0" borderId="30" xfId="0" applyNumberFormat="1" applyFont="1" applyFill="1" applyBorder="1" applyAlignment="1">
      <alignment horizontal="center" vertical="center"/>
    </xf>
    <xf numFmtId="166" fontId="2" fillId="0" borderId="31" xfId="0" applyNumberFormat="1" applyFont="1" applyFill="1" applyBorder="1" applyAlignment="1">
      <alignment horizontal="center" vertical="center" wrapText="1"/>
    </xf>
    <xf numFmtId="164" fontId="1" fillId="0" borderId="31" xfId="9" applyNumberFormat="1" applyFill="1" applyBorder="1"/>
    <xf numFmtId="164" fontId="1" fillId="0" borderId="32" xfId="9" applyNumberFormat="1" applyFill="1" applyBorder="1"/>
    <xf numFmtId="1" fontId="2" fillId="0" borderId="1" xfId="9" applyNumberFormat="1" applyFont="1" applyFill="1" applyBorder="1" applyAlignment="1">
      <alignment horizontal="center" vertical="center" wrapText="1"/>
    </xf>
    <xf numFmtId="164" fontId="0" fillId="0" borderId="1" xfId="9" applyNumberFormat="1" applyFont="1" applyFill="1" applyBorder="1"/>
    <xf numFmtId="1" fontId="1" fillId="0" borderId="1" xfId="9" applyNumberFormat="1" applyFill="1" applyBorder="1" applyAlignment="1">
      <alignment horizontal="center"/>
    </xf>
    <xf numFmtId="165" fontId="1" fillId="0" borderId="1" xfId="9" applyNumberFormat="1" applyFont="1" applyFill="1" applyBorder="1" applyAlignment="1">
      <alignment horizontal="center"/>
    </xf>
    <xf numFmtId="164" fontId="1" fillId="0" borderId="1" xfId="9" applyNumberFormat="1" applyFill="1" applyBorder="1" applyAlignment="1">
      <alignment horizontal="center"/>
    </xf>
    <xf numFmtId="166" fontId="2" fillId="0" borderId="24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65" fontId="1" fillId="0" borderId="24" xfId="9" applyNumberFormat="1" applyFill="1" applyBorder="1"/>
    <xf numFmtId="2" fontId="2" fillId="0" borderId="8" xfId="0" applyNumberFormat="1" applyFont="1" applyFill="1" applyBorder="1" applyAlignment="1">
      <alignment horizontal="center" vertical="center"/>
    </xf>
    <xf numFmtId="164" fontId="1" fillId="0" borderId="8" xfId="10" applyNumberFormat="1" applyFill="1" applyBorder="1"/>
    <xf numFmtId="166" fontId="17" fillId="0" borderId="1" xfId="5" applyNumberFormat="1" applyFill="1" applyBorder="1" applyAlignment="1">
      <alignment horizontal="center"/>
    </xf>
    <xf numFmtId="164" fontId="1" fillId="0" borderId="1" xfId="10" applyNumberFormat="1" applyFill="1" applyBorder="1"/>
    <xf numFmtId="166" fontId="2" fillId="0" borderId="1" xfId="2" applyNumberFormat="1" applyFont="1" applyFill="1" applyBorder="1" applyAlignment="1">
      <alignment horizontal="center" vertical="center" wrapText="1"/>
    </xf>
    <xf numFmtId="166" fontId="1" fillId="0" borderId="1" xfId="9" applyNumberFormat="1" applyFill="1" applyBorder="1" applyAlignment="1">
      <alignment horizontal="center"/>
    </xf>
    <xf numFmtId="166" fontId="1" fillId="0" borderId="1" xfId="10" applyNumberFormat="1" applyFill="1" applyBorder="1" applyAlignment="1">
      <alignment horizontal="center"/>
    </xf>
    <xf numFmtId="181" fontId="1" fillId="0" borderId="1" xfId="9" applyNumberFormat="1" applyFill="1" applyBorder="1" applyAlignment="1">
      <alignment horizontal="center"/>
    </xf>
    <xf numFmtId="181" fontId="1" fillId="0" borderId="1" xfId="10" applyNumberFormat="1" applyFill="1" applyBorder="1" applyAlignment="1">
      <alignment horizontal="center"/>
    </xf>
    <xf numFmtId="164" fontId="2" fillId="0" borderId="1" xfId="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4" fontId="1" fillId="0" borderId="1" xfId="9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74" fontId="1" fillId="0" borderId="0" xfId="9" applyNumberFormat="1" applyFill="1" applyBorder="1" applyAlignment="1">
      <alignment horizontal="center"/>
    </xf>
    <xf numFmtId="2" fontId="6" fillId="0" borderId="1" xfId="4" applyNumberFormat="1" applyFont="1" applyFill="1" applyBorder="1" applyAlignment="1">
      <alignment horizontal="center" vertical="center"/>
    </xf>
    <xf numFmtId="2" fontId="16" fillId="0" borderId="1" xfId="4" applyNumberFormat="1" applyFont="1" applyFill="1" applyBorder="1" applyAlignment="1">
      <alignment horizontal="center"/>
    </xf>
    <xf numFmtId="1" fontId="16" fillId="0" borderId="1" xfId="4" applyNumberFormat="1" applyFont="1" applyFill="1" applyBorder="1" applyAlignment="1">
      <alignment horizontal="center"/>
    </xf>
    <xf numFmtId="43" fontId="1" fillId="0" borderId="1" xfId="12" applyNumberFormat="1" applyFill="1" applyBorder="1"/>
    <xf numFmtId="2" fontId="6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0" fontId="1" fillId="0" borderId="1" xfId="12" applyNumberFormat="1" applyFont="1" applyFill="1" applyBorder="1" applyAlignment="1">
      <alignment horizontal="center"/>
    </xf>
    <xf numFmtId="0" fontId="16" fillId="0" borderId="1" xfId="6" applyNumberFormat="1" applyFont="1" applyFill="1" applyBorder="1"/>
    <xf numFmtId="0" fontId="16" fillId="0" borderId="1" xfId="6" applyNumberFormat="1" applyFont="1" applyFill="1" applyBorder="1" applyAlignment="1">
      <alignment horizontal="center"/>
    </xf>
    <xf numFmtId="0" fontId="1" fillId="0" borderId="1" xfId="6" applyFill="1" applyBorder="1" applyAlignment="1">
      <alignment horizontal="center"/>
    </xf>
    <xf numFmtId="164" fontId="1" fillId="0" borderId="1" xfId="12" applyNumberFormat="1" applyFill="1" applyBorder="1"/>
    <xf numFmtId="2" fontId="6" fillId="0" borderId="0" xfId="4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43" fontId="1" fillId="0" borderId="0" xfId="12" applyNumberFormat="1" applyFill="1" applyBorder="1"/>
    <xf numFmtId="0" fontId="1" fillId="0" borderId="0" xfId="12" applyNumberFormat="1" applyFont="1" applyFill="1" applyBorder="1" applyAlignment="1">
      <alignment horizontal="center"/>
    </xf>
    <xf numFmtId="0" fontId="16" fillId="0" borderId="0" xfId="6" applyNumberFormat="1" applyFont="1" applyFill="1" applyBorder="1"/>
    <xf numFmtId="0" fontId="16" fillId="0" borderId="0" xfId="6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3" fontId="6" fillId="0" borderId="1" xfId="9" applyNumberFormat="1" applyFont="1" applyFill="1" applyBorder="1" applyAlignment="1">
      <alignment horizontal="center" vertical="center"/>
    </xf>
    <xf numFmtId="9" fontId="2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justify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9" fontId="12" fillId="0" borderId="1" xfId="9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64" fontId="12" fillId="0" borderId="1" xfId="9" applyNumberFormat="1" applyFont="1" applyFill="1" applyBorder="1" applyAlignment="1">
      <alignment horizontal="center"/>
    </xf>
    <xf numFmtId="164" fontId="18" fillId="0" borderId="1" xfId="9" applyNumberFormat="1" applyFont="1" applyFill="1" applyBorder="1" applyAlignment="1">
      <alignment horizontal="center" vertical="top"/>
    </xf>
    <xf numFmtId="4" fontId="12" fillId="0" borderId="0" xfId="9" applyNumberFormat="1" applyFont="1" applyFill="1" applyBorder="1" applyAlignment="1">
      <alignment horizontal="center"/>
    </xf>
    <xf numFmtId="164" fontId="12" fillId="0" borderId="1" xfId="9" applyNumberFormat="1" applyFont="1" applyFill="1" applyBorder="1" applyAlignment="1">
      <alignment horizontal="left" vertical="center"/>
    </xf>
    <xf numFmtId="164" fontId="12" fillId="0" borderId="33" xfId="9" applyNumberFormat="1" applyFont="1" applyFill="1" applyBorder="1" applyAlignment="1">
      <alignment horizontal="center"/>
    </xf>
    <xf numFmtId="164" fontId="40" fillId="0" borderId="1" xfId="9" applyNumberFormat="1" applyFont="1" applyFill="1" applyBorder="1" applyAlignment="1">
      <alignment horizontal="center"/>
    </xf>
    <xf numFmtId="164" fontId="40" fillId="0" borderId="1" xfId="9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2" fillId="0" borderId="1" xfId="10" applyNumberFormat="1" applyFont="1" applyFill="1" applyBorder="1" applyAlignment="1">
      <alignment horizontal="center"/>
    </xf>
    <xf numFmtId="0" fontId="0" fillId="0" borderId="13" xfId="0" applyFill="1" applyBorder="1"/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64" fontId="1" fillId="0" borderId="34" xfId="9" applyNumberFormat="1" applyFill="1" applyBorder="1"/>
    <xf numFmtId="3" fontId="0" fillId="0" borderId="0" xfId="0" applyNumberFormat="1" applyFill="1"/>
    <xf numFmtId="0" fontId="0" fillId="0" borderId="1" xfId="0" applyFont="1" applyFill="1" applyBorder="1" applyAlignment="1">
      <alignment horizontal="left"/>
    </xf>
    <xf numFmtId="174" fontId="0" fillId="0" borderId="1" xfId="9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/>
    <xf numFmtId="174" fontId="0" fillId="0" borderId="0" xfId="9" applyNumberFormat="1" applyFont="1" applyFill="1" applyBorder="1" applyAlignment="1">
      <alignment horizontal="center"/>
    </xf>
    <xf numFmtId="0" fontId="0" fillId="0" borderId="0" xfId="0" applyFont="1" applyFill="1"/>
    <xf numFmtId="182" fontId="1" fillId="0" borderId="1" xfId="9" applyNumberFormat="1" applyFill="1" applyBorder="1" applyAlignment="1">
      <alignment horizontal="center"/>
    </xf>
    <xf numFmtId="174" fontId="2" fillId="0" borderId="0" xfId="0" applyNumberFormat="1" applyFont="1" applyFill="1" applyBorder="1" applyAlignment="1">
      <alignment horizontal="center"/>
    </xf>
    <xf numFmtId="164" fontId="1" fillId="0" borderId="0" xfId="6" applyNumberFormat="1" applyFill="1"/>
    <xf numFmtId="168" fontId="0" fillId="0" borderId="0" xfId="0" applyNumberFormat="1" applyFill="1"/>
    <xf numFmtId="164" fontId="12" fillId="0" borderId="15" xfId="9" applyNumberFormat="1" applyFont="1" applyFill="1" applyBorder="1" applyAlignment="1">
      <alignment horizontal="left"/>
    </xf>
    <xf numFmtId="0" fontId="0" fillId="0" borderId="16" xfId="0" applyFill="1" applyBorder="1"/>
    <xf numFmtId="164" fontId="12" fillId="0" borderId="0" xfId="9" applyNumberFormat="1" applyFont="1" applyFill="1" applyBorder="1" applyAlignment="1">
      <alignment horizontal="right"/>
    </xf>
    <xf numFmtId="164" fontId="12" fillId="0" borderId="24" xfId="9" applyNumberFormat="1" applyFont="1" applyFill="1" applyBorder="1" applyAlignment="1">
      <alignment horizontal="center" vertical="center" wrapText="1"/>
    </xf>
    <xf numFmtId="164" fontId="0" fillId="0" borderId="82" xfId="0" applyNumberFormat="1" applyFill="1" applyBorder="1" applyAlignment="1">
      <alignment horizontal="center"/>
    </xf>
    <xf numFmtId="164" fontId="12" fillId="0" borderId="34" xfId="9" applyNumberFormat="1" applyFont="1" applyFill="1" applyBorder="1" applyAlignment="1">
      <alignment horizontal="center" vertical="center"/>
    </xf>
    <xf numFmtId="164" fontId="42" fillId="0" borderId="35" xfId="9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4" fontId="2" fillId="0" borderId="1" xfId="9" applyNumberFormat="1" applyFont="1" applyFill="1" applyBorder="1" applyAlignment="1">
      <alignment horizontal="center"/>
    </xf>
    <xf numFmtId="164" fontId="2" fillId="0" borderId="1" xfId="11" applyNumberFormat="1" applyFont="1" applyFill="1" applyBorder="1" applyAlignment="1">
      <alignment horizontal="center" vertical="center"/>
    </xf>
    <xf numFmtId="164" fontId="1" fillId="0" borderId="1" xfId="11" applyNumberFormat="1" applyFont="1" applyFill="1" applyBorder="1" applyAlignment="1">
      <alignment vertical="center"/>
    </xf>
    <xf numFmtId="164" fontId="2" fillId="0" borderId="24" xfId="9" applyNumberFormat="1" applyFont="1" applyFill="1" applyBorder="1" applyAlignment="1">
      <alignment horizontal="center" vertical="center"/>
    </xf>
    <xf numFmtId="164" fontId="2" fillId="0" borderId="31" xfId="11" applyNumberFormat="1" applyFont="1" applyFill="1" applyBorder="1" applyAlignment="1">
      <alignment horizontal="center" vertical="center"/>
    </xf>
    <xf numFmtId="43" fontId="2" fillId="0" borderId="0" xfId="9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74" fontId="2" fillId="0" borderId="87" xfId="0" applyNumberFormat="1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74" fontId="0" fillId="0" borderId="0" xfId="0" applyNumberFormat="1" applyFill="1"/>
    <xf numFmtId="0" fontId="2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indent="1"/>
    </xf>
    <xf numFmtId="0" fontId="20" fillId="0" borderId="1" xfId="0" applyFont="1" applyFill="1" applyBorder="1" applyAlignment="1">
      <alignment horizontal="left" indent="2"/>
    </xf>
    <xf numFmtId="43" fontId="20" fillId="0" borderId="0" xfId="9" applyNumberFormat="1" applyFont="1" applyFill="1"/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4" fontId="2" fillId="0" borderId="35" xfId="1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3" fillId="0" borderId="11" xfId="2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 vertical="center"/>
    </xf>
    <xf numFmtId="164" fontId="12" fillId="0" borderId="1" xfId="9" applyNumberFormat="1" applyFont="1" applyFill="1" applyBorder="1" applyAlignment="1">
      <alignment horizontal="center" vertical="center"/>
    </xf>
    <xf numFmtId="164" fontId="12" fillId="0" borderId="1" xfId="9" applyNumberFormat="1" applyFont="1" applyFill="1" applyBorder="1" applyAlignment="1">
      <alignment horizontal="center" vertical="top" wrapText="1"/>
    </xf>
    <xf numFmtId="164" fontId="12" fillId="0" borderId="0" xfId="9" applyNumberFormat="1" applyFont="1" applyFill="1" applyBorder="1" applyAlignment="1">
      <alignment horizontal="center"/>
    </xf>
    <xf numFmtId="164" fontId="12" fillId="0" borderId="1" xfId="9" applyNumberFormat="1" applyFont="1" applyFill="1" applyBorder="1"/>
    <xf numFmtId="164" fontId="12" fillId="0" borderId="1" xfId="9" applyNumberFormat="1" applyFont="1" applyFill="1" applyBorder="1" applyAlignment="1">
      <alignment horizontal="center" vertical="center" wrapText="1"/>
    </xf>
    <xf numFmtId="3" fontId="12" fillId="0" borderId="1" xfId="9" applyNumberFormat="1" applyFont="1" applyFill="1" applyBorder="1" applyAlignment="1">
      <alignment horizontal="center"/>
    </xf>
    <xf numFmtId="164" fontId="19" fillId="0" borderId="0" xfId="9" applyNumberFormat="1" applyFont="1" applyFill="1" applyBorder="1" applyAlignment="1">
      <alignment horizontal="center" vertical="center"/>
    </xf>
    <xf numFmtId="174" fontId="2" fillId="0" borderId="86" xfId="0" applyNumberFormat="1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 vertical="center"/>
    </xf>
    <xf numFmtId="3" fontId="2" fillId="0" borderId="11" xfId="2" applyNumberFormat="1" applyFont="1" applyFill="1" applyBorder="1" applyAlignment="1">
      <alignment horizontal="center" vertical="center" wrapText="1" shrinkToFit="1"/>
    </xf>
    <xf numFmtId="3" fontId="2" fillId="0" borderId="11" xfId="1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3" fontId="12" fillId="0" borderId="1" xfId="13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7" applyNumberFormat="1" applyFont="1" applyFill="1" applyBorder="1" applyAlignment="1">
      <alignment horizontal="center" vertical="center"/>
    </xf>
    <xf numFmtId="3" fontId="12" fillId="0" borderId="1" xfId="7" applyNumberFormat="1" applyFont="1" applyFill="1" applyBorder="1" applyAlignment="1">
      <alignment horizontal="center" vertical="center"/>
    </xf>
    <xf numFmtId="3" fontId="12" fillId="0" borderId="34" xfId="9" applyNumberFormat="1" applyFont="1" applyFill="1" applyBorder="1" applyAlignment="1">
      <alignment horizontal="center"/>
    </xf>
    <xf numFmtId="3" fontId="12" fillId="0" borderId="83" xfId="9" applyNumberFormat="1" applyFont="1" applyFill="1" applyBorder="1" applyAlignment="1">
      <alignment horizontal="center"/>
    </xf>
    <xf numFmtId="164" fontId="12" fillId="0" borderId="1" xfId="9" applyNumberFormat="1" applyFont="1" applyFill="1" applyBorder="1" applyAlignment="1">
      <alignment wrapText="1"/>
    </xf>
    <xf numFmtId="3" fontId="12" fillId="0" borderId="1" xfId="9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174" fontId="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11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 vertical="center" wrapText="1"/>
    </xf>
    <xf numFmtId="2" fontId="2" fillId="0" borderId="11" xfId="2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20" xfId="0" applyFill="1" applyBorder="1"/>
    <xf numFmtId="0" fontId="0" fillId="0" borderId="22" xfId="0" applyFill="1" applyBorder="1"/>
    <xf numFmtId="0" fontId="0" fillId="0" borderId="23" xfId="0" applyFill="1" applyBorder="1"/>
    <xf numFmtId="0" fontId="23" fillId="0" borderId="11" xfId="0" applyFont="1" applyFill="1" applyBorder="1" applyAlignment="1">
      <alignment horizontal="center" vertical="center" wrapText="1"/>
    </xf>
    <xf numFmtId="49" fontId="24" fillId="0" borderId="11" xfId="9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0" fillId="0" borderId="27" xfId="0" applyFill="1" applyBorder="1"/>
    <xf numFmtId="0" fontId="2" fillId="0" borderId="5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164" fontId="0" fillId="0" borderId="1" xfId="9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 vertical="center"/>
    </xf>
    <xf numFmtId="164" fontId="0" fillId="0" borderId="24" xfId="9" applyNumberFormat="1" applyFont="1" applyFill="1" applyBorder="1" applyAlignment="1">
      <alignment horizontal="center"/>
    </xf>
    <xf numFmtId="164" fontId="2" fillId="0" borderId="24" xfId="3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/>
    </xf>
    <xf numFmtId="165" fontId="1" fillId="0" borderId="57" xfId="9" applyNumberFormat="1" applyFont="1" applyFill="1" applyBorder="1" applyAlignment="1">
      <alignment horizontal="center"/>
    </xf>
    <xf numFmtId="165" fontId="1" fillId="0" borderId="58" xfId="9" applyNumberFormat="1" applyFill="1" applyBorder="1" applyAlignment="1">
      <alignment horizontal="center"/>
    </xf>
    <xf numFmtId="165" fontId="1" fillId="0" borderId="59" xfId="9" applyNumberForma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6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3" fontId="2" fillId="0" borderId="24" xfId="3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7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78" xfId="0" applyFont="1" applyFill="1" applyBorder="1" applyAlignment="1">
      <alignment horizontal="left" vertical="center"/>
    </xf>
    <xf numFmtId="0" fontId="2" fillId="0" borderId="79" xfId="0" applyFont="1" applyFill="1" applyBorder="1" applyAlignment="1">
      <alignment horizontal="left" vertical="center"/>
    </xf>
    <xf numFmtId="3" fontId="1" fillId="0" borderId="1" xfId="9" applyNumberForma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32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 vertical="center" wrapText="1"/>
    </xf>
    <xf numFmtId="0" fontId="2" fillId="0" borderId="15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horizontal="left" vertical="center" wrapText="1"/>
    </xf>
    <xf numFmtId="0" fontId="2" fillId="0" borderId="14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1" xfId="6" applyFont="1" applyFill="1" applyBorder="1"/>
    <xf numFmtId="0" fontId="1" fillId="0" borderId="1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justify"/>
    </xf>
    <xf numFmtId="9" fontId="6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12" fillId="0" borderId="0" xfId="9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164" fontId="18" fillId="0" borderId="1" xfId="9" applyNumberFormat="1" applyFont="1" applyFill="1" applyBorder="1" applyAlignment="1">
      <alignment horizontal="center" vertical="top" wrapText="1"/>
    </xf>
    <xf numFmtId="164" fontId="18" fillId="0" borderId="1" xfId="9" applyNumberFormat="1" applyFont="1" applyFill="1" applyBorder="1" applyAlignment="1">
      <alignment horizontal="center" vertical="center" wrapText="1"/>
    </xf>
    <xf numFmtId="164" fontId="12" fillId="0" borderId="1" xfId="9" applyNumberFormat="1" applyFont="1" applyFill="1" applyBorder="1" applyAlignment="1">
      <alignment horizontal="center" vertical="center"/>
    </xf>
    <xf numFmtId="164" fontId="12" fillId="0" borderId="1" xfId="9" applyNumberFormat="1" applyFont="1" applyFill="1" applyBorder="1"/>
    <xf numFmtId="164" fontId="18" fillId="0" borderId="1" xfId="9" applyNumberFormat="1" applyFont="1" applyFill="1" applyBorder="1" applyAlignment="1">
      <alignment horizontal="center" vertical="center"/>
    </xf>
    <xf numFmtId="9" fontId="18" fillId="0" borderId="1" xfId="8" applyFont="1" applyFill="1" applyBorder="1" applyAlignment="1">
      <alignment horizontal="center" wrapText="1"/>
    </xf>
    <xf numFmtId="164" fontId="18" fillId="0" borderId="1" xfId="9" applyNumberFormat="1" applyFont="1" applyFill="1" applyBorder="1" applyAlignment="1">
      <alignment vertical="center"/>
    </xf>
    <xf numFmtId="164" fontId="21" fillId="0" borderId="1" xfId="9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64" fontId="12" fillId="0" borderId="1" xfId="9" applyNumberFormat="1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164" fontId="0" fillId="0" borderId="82" xfId="0" applyNumberFormat="1" applyFill="1" applyBorder="1" applyAlignment="1">
      <alignment horizontal="center" vertical="center"/>
    </xf>
    <xf numFmtId="164" fontId="12" fillId="0" borderId="1" xfId="9" applyNumberFormat="1" applyFont="1" applyFill="1" applyBorder="1" applyAlignment="1">
      <alignment horizontal="center" vertical="center" wrapText="1"/>
    </xf>
    <xf numFmtId="9" fontId="12" fillId="0" borderId="1" xfId="8" applyFont="1" applyFill="1" applyBorder="1" applyAlignment="1">
      <alignment horizontal="center" wrapText="1"/>
    </xf>
    <xf numFmtId="164" fontId="40" fillId="0" borderId="1" xfId="9" applyNumberFormat="1" applyFont="1" applyFill="1" applyBorder="1" applyAlignment="1">
      <alignment horizontal="center" vertical="center" wrapText="1"/>
    </xf>
    <xf numFmtId="3" fontId="12" fillId="0" borderId="1" xfId="9" applyNumberFormat="1" applyFont="1" applyFill="1" applyBorder="1" applyAlignment="1">
      <alignment horizontal="center"/>
    </xf>
    <xf numFmtId="9" fontId="12" fillId="0" borderId="1" xfId="8" applyFont="1" applyFill="1" applyBorder="1" applyAlignment="1">
      <alignment horizontal="right" wrapText="1"/>
    </xf>
    <xf numFmtId="3" fontId="6" fillId="0" borderId="1" xfId="9" applyNumberFormat="1" applyFont="1" applyFill="1" applyBorder="1" applyAlignment="1">
      <alignment horizontal="left"/>
    </xf>
    <xf numFmtId="164" fontId="12" fillId="0" borderId="24" xfId="9" applyNumberFormat="1" applyFont="1" applyFill="1" applyBorder="1" applyAlignment="1">
      <alignment horizontal="center" vertical="center"/>
    </xf>
    <xf numFmtId="164" fontId="12" fillId="0" borderId="33" xfId="9" applyNumberFormat="1" applyFont="1" applyFill="1" applyBorder="1" applyAlignment="1">
      <alignment horizontal="center" vertical="center"/>
    </xf>
    <xf numFmtId="164" fontId="40" fillId="0" borderId="24" xfId="9" applyNumberFormat="1" applyFont="1" applyFill="1" applyBorder="1" applyAlignment="1">
      <alignment horizontal="left" vertical="center" wrapText="1"/>
    </xf>
    <xf numFmtId="164" fontId="40" fillId="0" borderId="33" xfId="9" applyNumberFormat="1" applyFont="1" applyFill="1" applyBorder="1" applyAlignment="1">
      <alignment horizontal="left" vertical="center" wrapText="1"/>
    </xf>
    <xf numFmtId="164" fontId="21" fillId="0" borderId="1" xfId="9" applyNumberFormat="1" applyFont="1" applyFill="1" applyBorder="1" applyAlignment="1">
      <alignment horizontal="center" vertical="center" wrapText="1"/>
    </xf>
    <xf numFmtId="164" fontId="19" fillId="0" borderId="0" xfId="9" applyNumberFormat="1" applyFont="1" applyFill="1" applyBorder="1" applyAlignment="1">
      <alignment horizontal="center" vertical="center"/>
    </xf>
    <xf numFmtId="164" fontId="19" fillId="0" borderId="48" xfId="9" applyNumberFormat="1" applyFont="1" applyFill="1" applyBorder="1" applyAlignment="1">
      <alignment horizontal="center" vertical="top" wrapText="1"/>
    </xf>
    <xf numFmtId="164" fontId="19" fillId="0" borderId="50" xfId="9" applyNumberFormat="1" applyFont="1" applyFill="1" applyBorder="1" applyAlignment="1">
      <alignment horizontal="center" vertical="top" wrapText="1"/>
    </xf>
    <xf numFmtId="164" fontId="19" fillId="0" borderId="47" xfId="9" applyNumberFormat="1" applyFont="1" applyFill="1" applyBorder="1" applyAlignment="1">
      <alignment horizontal="left" vertical="top" wrapText="1"/>
    </xf>
    <xf numFmtId="164" fontId="19" fillId="0" borderId="48" xfId="9" applyNumberFormat="1" applyFont="1" applyFill="1" applyBorder="1" applyAlignment="1">
      <alignment horizontal="left" vertical="top" wrapText="1"/>
    </xf>
    <xf numFmtId="164" fontId="19" fillId="0" borderId="49" xfId="9" applyNumberFormat="1" applyFont="1" applyFill="1" applyBorder="1" applyAlignment="1">
      <alignment horizontal="left" vertical="top" wrapText="1"/>
    </xf>
    <xf numFmtId="164" fontId="19" fillId="0" borderId="50" xfId="9" applyNumberFormat="1" applyFont="1" applyFill="1" applyBorder="1" applyAlignment="1">
      <alignment horizontal="left" vertical="top" wrapText="1"/>
    </xf>
    <xf numFmtId="164" fontId="19" fillId="0" borderId="80" xfId="9" applyNumberFormat="1" applyFont="1" applyFill="1" applyBorder="1" applyAlignment="1">
      <alignment horizontal="left" vertical="top" wrapText="1"/>
    </xf>
    <xf numFmtId="164" fontId="19" fillId="0" borderId="81" xfId="9" applyNumberFormat="1" applyFont="1" applyFill="1" applyBorder="1" applyAlignment="1">
      <alignment horizontal="left" vertical="top" wrapText="1"/>
    </xf>
  </cellXfs>
  <cellStyles count="14">
    <cellStyle name="Гиперссылка" xfId="1" builtinId="8"/>
    <cellStyle name="Обычный" xfId="0" builtinId="0"/>
    <cellStyle name="Обычный_Базовые цены на специфичную продукцию" xfId="2"/>
    <cellStyle name="Обычный_канаты от МОП(от 17.04.07)" xfId="3"/>
    <cellStyle name="Обычный_Лист1" xfId="4"/>
    <cellStyle name="Обычный_новые цены" xfId="5"/>
    <cellStyle name="Обычный_Общего назначения сентябрь 2007" xfId="6"/>
    <cellStyle name="Обычный_Сборник цен 2009 12" xfId="7"/>
    <cellStyle name="Процентный" xfId="8" builtinId="5"/>
    <cellStyle name="Финансовый" xfId="9" builtinId="3"/>
    <cellStyle name="Финансовый_Базовые цены на специфичную продукцию" xfId="10"/>
    <cellStyle name="Финансовый_канаты от МОП(от 17.04.07)" xfId="11"/>
    <cellStyle name="Финансовый_Общего назначения сентябрь 2007" xfId="12"/>
    <cellStyle name="Финансовый_Сборник цен 2009 12" xfId="1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99"/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2</xdr:row>
      <xdr:rowOff>167639</xdr:rowOff>
    </xdr:from>
    <xdr:to>
      <xdr:col>3</xdr:col>
      <xdr:colOff>586740</xdr:colOff>
      <xdr:row>7</xdr:row>
      <xdr:rowOff>20977</xdr:rowOff>
    </xdr:to>
    <xdr:pic>
      <xdr:nvPicPr>
        <xdr:cNvPr id="111619" name="Picture 1" descr="Severstal_met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508298"/>
          <a:ext cx="2133600" cy="74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62415420</xdr:rowOff>
    </xdr:to>
    <xdr:sp macro="" textlink="">
      <xdr:nvSpPr>
        <xdr:cNvPr id="105500" name="AutoShape 1"/>
        <xdr:cNvSpPr>
          <a:spLocks/>
        </xdr:cNvSpPr>
      </xdr:nvSpPr>
      <xdr:spPr bwMode="auto">
        <a:xfrm>
          <a:off x="0" y="2865120"/>
          <a:ext cx="0" cy="16764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cxnSp macro="">
      <xdr:nvCxnSpPr>
        <xdr:cNvPr id="105501" name="AutoShape 2"/>
        <xdr:cNvCxnSpPr>
          <a:cxnSpLocks noChangeShapeType="1"/>
        </xdr:cNvCxnSpPr>
      </xdr:nvCxnSpPr>
      <xdr:spPr bwMode="auto">
        <a:xfrm flipH="1" flipV="1">
          <a:off x="0" y="286512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62415420</xdr:rowOff>
    </xdr:to>
    <xdr:sp macro="" textlink="">
      <xdr:nvSpPr>
        <xdr:cNvPr id="105502" name="AutoShape 4"/>
        <xdr:cNvSpPr>
          <a:spLocks/>
        </xdr:cNvSpPr>
      </xdr:nvSpPr>
      <xdr:spPr bwMode="auto">
        <a:xfrm>
          <a:off x="0" y="2865120"/>
          <a:ext cx="0" cy="16764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cxnSp macro="">
      <xdr:nvCxnSpPr>
        <xdr:cNvPr id="105503" name="AutoShape 5"/>
        <xdr:cNvCxnSpPr>
          <a:cxnSpLocks noChangeShapeType="1"/>
        </xdr:cNvCxnSpPr>
      </xdr:nvCxnSpPr>
      <xdr:spPr bwMode="auto">
        <a:xfrm flipH="1" flipV="1">
          <a:off x="0" y="286512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62415420</xdr:rowOff>
    </xdr:to>
    <xdr:sp macro="" textlink="">
      <xdr:nvSpPr>
        <xdr:cNvPr id="105504" name="AutoShape 7"/>
        <xdr:cNvSpPr>
          <a:spLocks/>
        </xdr:cNvSpPr>
      </xdr:nvSpPr>
      <xdr:spPr bwMode="auto">
        <a:xfrm>
          <a:off x="0" y="2865120"/>
          <a:ext cx="0" cy="16764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cxnSp macro="">
      <xdr:nvCxnSpPr>
        <xdr:cNvPr id="105505" name="AutoShape 8"/>
        <xdr:cNvCxnSpPr>
          <a:cxnSpLocks noChangeShapeType="1"/>
        </xdr:cNvCxnSpPr>
      </xdr:nvCxnSpPr>
      <xdr:spPr bwMode="auto">
        <a:xfrm flipH="1" flipV="1">
          <a:off x="0" y="286512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62415420</xdr:rowOff>
    </xdr:to>
    <xdr:sp macro="" textlink="">
      <xdr:nvSpPr>
        <xdr:cNvPr id="105506" name="AutoShape 10"/>
        <xdr:cNvSpPr>
          <a:spLocks/>
        </xdr:cNvSpPr>
      </xdr:nvSpPr>
      <xdr:spPr bwMode="auto">
        <a:xfrm>
          <a:off x="0" y="2865120"/>
          <a:ext cx="0" cy="16764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cxnSp macro="">
      <xdr:nvCxnSpPr>
        <xdr:cNvPr id="105507" name="AutoShape 11"/>
        <xdr:cNvCxnSpPr>
          <a:cxnSpLocks noChangeShapeType="1"/>
        </xdr:cNvCxnSpPr>
      </xdr:nvCxnSpPr>
      <xdr:spPr bwMode="auto">
        <a:xfrm flipH="1" flipV="1">
          <a:off x="0" y="286512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62415420</xdr:rowOff>
    </xdr:to>
    <xdr:sp macro="" textlink="">
      <xdr:nvSpPr>
        <xdr:cNvPr id="105508" name="AutoShape 13"/>
        <xdr:cNvSpPr>
          <a:spLocks/>
        </xdr:cNvSpPr>
      </xdr:nvSpPr>
      <xdr:spPr bwMode="auto">
        <a:xfrm>
          <a:off x="0" y="2865120"/>
          <a:ext cx="0" cy="16764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cxnSp macro="">
      <xdr:nvCxnSpPr>
        <xdr:cNvPr id="105509" name="AutoShape 14"/>
        <xdr:cNvCxnSpPr>
          <a:cxnSpLocks noChangeShapeType="1"/>
        </xdr:cNvCxnSpPr>
      </xdr:nvCxnSpPr>
      <xdr:spPr bwMode="auto">
        <a:xfrm flipH="1" flipV="1">
          <a:off x="0" y="286512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62415420</xdr:rowOff>
    </xdr:to>
    <xdr:sp macro="" textlink="">
      <xdr:nvSpPr>
        <xdr:cNvPr id="105510" name="AutoShape 16"/>
        <xdr:cNvSpPr>
          <a:spLocks/>
        </xdr:cNvSpPr>
      </xdr:nvSpPr>
      <xdr:spPr bwMode="auto">
        <a:xfrm>
          <a:off x="0" y="2865120"/>
          <a:ext cx="0" cy="16764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cxnSp macro="">
      <xdr:nvCxnSpPr>
        <xdr:cNvPr id="105511" name="AutoShape 17"/>
        <xdr:cNvCxnSpPr>
          <a:cxnSpLocks noChangeShapeType="1"/>
        </xdr:cNvCxnSpPr>
      </xdr:nvCxnSpPr>
      <xdr:spPr bwMode="auto">
        <a:xfrm flipH="1" flipV="1">
          <a:off x="0" y="286512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62415420</xdr:rowOff>
    </xdr:to>
    <xdr:sp macro="" textlink="">
      <xdr:nvSpPr>
        <xdr:cNvPr id="105512" name="AutoShape 19"/>
        <xdr:cNvSpPr>
          <a:spLocks/>
        </xdr:cNvSpPr>
      </xdr:nvSpPr>
      <xdr:spPr bwMode="auto">
        <a:xfrm>
          <a:off x="0" y="2865120"/>
          <a:ext cx="0" cy="16764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cxnSp macro="">
      <xdr:nvCxnSpPr>
        <xdr:cNvPr id="105513" name="AutoShape 20"/>
        <xdr:cNvCxnSpPr>
          <a:cxnSpLocks noChangeShapeType="1"/>
        </xdr:cNvCxnSpPr>
      </xdr:nvCxnSpPr>
      <xdr:spPr bwMode="auto">
        <a:xfrm flipH="1" flipV="1">
          <a:off x="0" y="286512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62415420</xdr:rowOff>
    </xdr:to>
    <xdr:sp macro="" textlink="">
      <xdr:nvSpPr>
        <xdr:cNvPr id="105514" name="AutoShape 25"/>
        <xdr:cNvSpPr>
          <a:spLocks/>
        </xdr:cNvSpPr>
      </xdr:nvSpPr>
      <xdr:spPr bwMode="auto">
        <a:xfrm>
          <a:off x="0" y="2865120"/>
          <a:ext cx="0" cy="16764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130500120</xdr:rowOff>
    </xdr:from>
    <xdr:to>
      <xdr:col>0</xdr:col>
      <xdr:colOff>0</xdr:colOff>
      <xdr:row>13</xdr:row>
      <xdr:rowOff>62415420</xdr:rowOff>
    </xdr:to>
    <xdr:cxnSp macro="">
      <xdr:nvCxnSpPr>
        <xdr:cNvPr id="105515" name="AutoShape 27"/>
        <xdr:cNvCxnSpPr>
          <a:cxnSpLocks noChangeShapeType="1"/>
        </xdr:cNvCxnSpPr>
      </xdr:nvCxnSpPr>
      <xdr:spPr bwMode="auto">
        <a:xfrm flipH="1" flipV="1">
          <a:off x="0" y="303276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</xdr:row>
          <xdr:rowOff>0</xdr:rowOff>
        </xdr:from>
        <xdr:to>
          <xdr:col>10</xdr:col>
          <xdr:colOff>190500</xdr:colOff>
          <xdr:row>8</xdr:row>
          <xdr:rowOff>106680</xdr:rowOff>
        </xdr:to>
        <xdr:sp macro="" textlink="">
          <xdr:nvSpPr>
            <xdr:cNvPr id="101389" name="CommandButton1" hidden="1">
              <a:extLst>
                <a:ext uri="{63B3BB69-23CF-44E3-9099-C40C66FF867C}">
                  <a14:compatExt spid="_x0000_s10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4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44"/>
  <sheetViews>
    <sheetView tabSelected="1" view="pageBreakPreview" zoomScale="85" zoomScaleNormal="75" workbookViewId="0"/>
  </sheetViews>
  <sheetFormatPr defaultColWidth="8.88671875" defaultRowHeight="13.2" x14ac:dyDescent="0.25"/>
  <cols>
    <col min="1" max="5" width="8.88671875" style="24"/>
    <col min="6" max="6" width="10.6640625" style="24" customWidth="1"/>
    <col min="7" max="16384" width="8.88671875" style="24"/>
  </cols>
  <sheetData>
    <row r="1" spans="1:10" x14ac:dyDescent="0.25">
      <c r="A1" s="200"/>
      <c r="B1" s="200"/>
      <c r="C1" s="200"/>
      <c r="D1" s="200"/>
      <c r="E1" s="200"/>
      <c r="F1" s="200"/>
      <c r="G1" s="200"/>
      <c r="H1" s="200"/>
      <c r="I1" s="200"/>
      <c r="J1" s="200"/>
    </row>
    <row r="2" spans="1:10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</row>
    <row r="3" spans="1:10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</row>
    <row r="4" spans="1:10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</row>
    <row r="5" spans="1:10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</row>
    <row r="6" spans="1:10" x14ac:dyDescent="0.25">
      <c r="A6" s="200"/>
      <c r="B6" s="200"/>
      <c r="C6" s="200"/>
      <c r="D6" s="200"/>
      <c r="E6" s="200"/>
      <c r="F6" s="200"/>
      <c r="G6" s="200"/>
      <c r="H6" s="200"/>
      <c r="I6" s="200"/>
      <c r="J6" s="200"/>
    </row>
    <row r="7" spans="1:10" ht="16.8" x14ac:dyDescent="0.3">
      <c r="A7" s="200"/>
      <c r="B7" s="200"/>
      <c r="C7" s="200"/>
      <c r="D7" s="200"/>
      <c r="E7" s="200"/>
      <c r="F7" s="200"/>
      <c r="G7" s="230" t="s">
        <v>189</v>
      </c>
      <c r="H7" s="230"/>
      <c r="I7" s="200"/>
      <c r="J7" s="200"/>
    </row>
    <row r="8" spans="1:10" ht="15" x14ac:dyDescent="0.25">
      <c r="A8" s="200"/>
      <c r="B8" s="200"/>
      <c r="C8" s="200"/>
      <c r="D8" s="200"/>
      <c r="E8" s="200"/>
      <c r="F8" s="200"/>
      <c r="G8" s="201" t="s">
        <v>583</v>
      </c>
      <c r="H8" s="200"/>
      <c r="I8" s="201"/>
      <c r="J8" s="201"/>
    </row>
    <row r="9" spans="1:10" ht="15" x14ac:dyDescent="0.25">
      <c r="A9" s="200"/>
      <c r="B9" s="200"/>
      <c r="C9" s="200"/>
      <c r="D9" s="200"/>
      <c r="E9" s="200"/>
      <c r="F9" s="200"/>
      <c r="G9" s="201" t="s">
        <v>689</v>
      </c>
      <c r="H9" s="200"/>
      <c r="I9" s="201"/>
      <c r="J9" s="201"/>
    </row>
    <row r="10" spans="1:10" ht="15" x14ac:dyDescent="0.25">
      <c r="A10" s="200"/>
      <c r="B10" s="200"/>
      <c r="C10" s="200"/>
      <c r="D10" s="200"/>
      <c r="E10" s="200"/>
      <c r="F10" s="200"/>
      <c r="G10" s="200"/>
      <c r="H10" s="201"/>
      <c r="I10" s="201"/>
      <c r="J10" s="201"/>
    </row>
    <row r="11" spans="1:10" ht="15" x14ac:dyDescent="0.25">
      <c r="A11" s="200"/>
      <c r="B11" s="200"/>
      <c r="C11" s="200"/>
      <c r="D11" s="200"/>
      <c r="E11" s="200"/>
      <c r="F11" s="200"/>
      <c r="G11" s="201" t="s">
        <v>701</v>
      </c>
      <c r="H11" s="201"/>
      <c r="I11" s="201"/>
      <c r="J11" s="231" t="s">
        <v>794</v>
      </c>
    </row>
    <row r="12" spans="1:10" ht="15" x14ac:dyDescent="0.25">
      <c r="A12" s="200"/>
      <c r="B12" s="200"/>
      <c r="C12" s="200"/>
      <c r="D12" s="200"/>
      <c r="E12" s="200"/>
      <c r="F12" s="200"/>
      <c r="G12" s="201"/>
      <c r="H12" s="201"/>
      <c r="I12" s="201"/>
      <c r="J12" s="201"/>
    </row>
    <row r="13" spans="1:10" ht="15" x14ac:dyDescent="0.25">
      <c r="A13" s="200"/>
      <c r="B13" s="200"/>
      <c r="C13" s="200"/>
      <c r="D13" s="200"/>
      <c r="E13" s="200"/>
      <c r="F13" s="200"/>
      <c r="G13" s="201"/>
      <c r="H13" s="202"/>
      <c r="I13" s="203"/>
      <c r="J13" s="201"/>
    </row>
    <row r="14" spans="1:10" x14ac:dyDescent="0.25">
      <c r="A14" s="200"/>
      <c r="B14" s="200"/>
      <c r="C14" s="200"/>
      <c r="D14" s="200"/>
      <c r="E14" s="200"/>
      <c r="F14" s="200"/>
      <c r="G14" s="200"/>
      <c r="H14" s="200"/>
      <c r="I14" s="200"/>
      <c r="J14" s="200"/>
    </row>
    <row r="15" spans="1:10" x14ac:dyDescent="0.25">
      <c r="A15" s="200"/>
      <c r="B15" s="200"/>
      <c r="C15" s="200"/>
      <c r="D15" s="200"/>
      <c r="E15" s="200"/>
      <c r="F15" s="200"/>
      <c r="G15" s="200"/>
      <c r="H15" s="200"/>
      <c r="I15" s="200"/>
      <c r="J15" s="200"/>
    </row>
    <row r="16" spans="1:10" x14ac:dyDescent="0.25">
      <c r="A16" s="200"/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0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</row>
    <row r="18" spans="1:10" x14ac:dyDescent="0.25">
      <c r="A18" s="200"/>
      <c r="B18" s="200"/>
      <c r="C18" s="200"/>
      <c r="D18" s="200"/>
      <c r="E18" s="200"/>
      <c r="F18" s="200"/>
      <c r="G18" s="200"/>
      <c r="H18" s="200"/>
      <c r="I18" s="200"/>
      <c r="J18" s="200"/>
    </row>
    <row r="19" spans="1:10" x14ac:dyDescent="0.25">
      <c r="A19" s="200"/>
      <c r="B19" s="200"/>
      <c r="C19" s="200"/>
      <c r="D19" s="200"/>
      <c r="E19" s="200"/>
      <c r="F19" s="200"/>
      <c r="G19" s="200"/>
      <c r="H19" s="200"/>
      <c r="I19" s="200"/>
      <c r="J19" s="200"/>
    </row>
    <row r="20" spans="1:10" x14ac:dyDescent="0.25">
      <c r="A20" s="200"/>
      <c r="B20" s="200"/>
      <c r="C20" s="204"/>
      <c r="D20" s="204"/>
      <c r="E20" s="204"/>
      <c r="F20" s="204"/>
      <c r="G20" s="204"/>
      <c r="H20" s="204"/>
      <c r="I20" s="204"/>
      <c r="J20" s="200"/>
    </row>
    <row r="21" spans="1:10" ht="28.2" x14ac:dyDescent="0.5">
      <c r="A21" s="200"/>
      <c r="B21" s="200"/>
      <c r="C21" s="204"/>
      <c r="D21" s="204"/>
      <c r="E21" s="204"/>
      <c r="F21" s="205"/>
      <c r="G21" s="204"/>
      <c r="H21" s="204"/>
      <c r="I21" s="204"/>
      <c r="J21" s="200"/>
    </row>
    <row r="22" spans="1:10" ht="17.399999999999999" hidden="1" x14ac:dyDescent="0.3">
      <c r="A22" s="200"/>
      <c r="B22" s="200"/>
      <c r="C22" s="204"/>
      <c r="D22" s="204"/>
      <c r="E22" s="204"/>
      <c r="F22" s="206" t="s">
        <v>190</v>
      </c>
      <c r="G22" s="204"/>
      <c r="H22" s="204"/>
      <c r="I22" s="204"/>
      <c r="J22" s="200"/>
    </row>
    <row r="23" spans="1:10" ht="20.399999999999999" x14ac:dyDescent="0.35">
      <c r="A23" s="528" t="s">
        <v>52</v>
      </c>
      <c r="B23" s="528"/>
      <c r="C23" s="528"/>
      <c r="D23" s="528"/>
      <c r="E23" s="528"/>
      <c r="F23" s="528"/>
      <c r="G23" s="528"/>
      <c r="H23" s="528"/>
      <c r="I23" s="528"/>
      <c r="J23" s="528"/>
    </row>
    <row r="24" spans="1:10" ht="20.399999999999999" x14ac:dyDescent="0.35">
      <c r="A24" s="528" t="s">
        <v>834</v>
      </c>
      <c r="B24" s="528"/>
      <c r="C24" s="528"/>
      <c r="D24" s="528"/>
      <c r="E24" s="528"/>
      <c r="F24" s="528"/>
      <c r="G24" s="528"/>
      <c r="H24" s="528"/>
      <c r="I24" s="528"/>
      <c r="J24" s="528"/>
    </row>
    <row r="25" spans="1:10" x14ac:dyDescent="0.25">
      <c r="A25" s="200"/>
      <c r="B25" s="200"/>
      <c r="C25" s="204"/>
      <c r="D25" s="204"/>
      <c r="E25" s="204"/>
      <c r="F25" s="200"/>
      <c r="G25" s="204"/>
      <c r="H25" s="204"/>
      <c r="I25" s="204"/>
      <c r="J25" s="200"/>
    </row>
    <row r="26" spans="1:10" x14ac:dyDescent="0.25">
      <c r="A26" s="200"/>
      <c r="B26" s="200"/>
      <c r="C26" s="207"/>
      <c r="D26" s="204"/>
      <c r="E26" s="204"/>
      <c r="F26" s="200"/>
      <c r="G26" s="204"/>
      <c r="H26" s="204"/>
      <c r="I26" s="204"/>
      <c r="J26" s="200"/>
    </row>
    <row r="27" spans="1:10" x14ac:dyDescent="0.25">
      <c r="A27" s="200"/>
      <c r="B27" s="200"/>
      <c r="C27" s="200"/>
      <c r="D27" s="200"/>
      <c r="E27" s="208"/>
      <c r="F27" s="200"/>
      <c r="G27" s="200"/>
      <c r="H27" s="200"/>
      <c r="I27" s="200"/>
      <c r="J27" s="200"/>
    </row>
    <row r="28" spans="1:10" x14ac:dyDescent="0.25">
      <c r="A28" s="200"/>
      <c r="B28" s="200"/>
      <c r="C28" s="200"/>
      <c r="D28" s="200"/>
      <c r="E28" s="208"/>
      <c r="F28" s="200"/>
      <c r="G28" s="200"/>
      <c r="H28" s="200"/>
      <c r="I28" s="200"/>
      <c r="J28" s="200"/>
    </row>
    <row r="29" spans="1:10" x14ac:dyDescent="0.25">
      <c r="A29" s="200"/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10" x14ac:dyDescent="0.25">
      <c r="A30" s="200"/>
      <c r="B30" s="200"/>
      <c r="C30" s="200"/>
      <c r="D30" s="200"/>
      <c r="E30" s="200"/>
      <c r="F30" s="200"/>
      <c r="G30" s="200"/>
      <c r="H30" s="200"/>
      <c r="I30" s="200"/>
      <c r="J30" s="200"/>
    </row>
    <row r="31" spans="1:10" x14ac:dyDescent="0.25">
      <c r="A31" s="200"/>
      <c r="B31" s="200"/>
      <c r="C31" s="200"/>
      <c r="D31" s="200"/>
      <c r="E31" s="200"/>
      <c r="F31" s="200"/>
      <c r="G31" s="200"/>
      <c r="H31" s="200"/>
      <c r="I31" s="200"/>
      <c r="J31" s="200"/>
    </row>
    <row r="32" spans="1:10" x14ac:dyDescent="0.25">
      <c r="A32" s="200"/>
      <c r="B32" s="200"/>
      <c r="C32" s="200"/>
      <c r="D32" s="200"/>
      <c r="E32" s="200"/>
      <c r="F32" s="200"/>
      <c r="G32" s="200"/>
      <c r="H32" s="200"/>
      <c r="I32" s="200"/>
      <c r="J32" s="200"/>
    </row>
    <row r="33" spans="1:10" x14ac:dyDescent="0.25">
      <c r="A33" s="200"/>
      <c r="B33" s="200"/>
      <c r="C33" s="200"/>
      <c r="D33" s="200"/>
      <c r="E33" s="200"/>
      <c r="F33" s="200"/>
      <c r="G33" s="200"/>
      <c r="H33" s="200"/>
      <c r="I33" s="200"/>
      <c r="J33" s="200"/>
    </row>
    <row r="34" spans="1:10" x14ac:dyDescent="0.25">
      <c r="A34" s="200"/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x14ac:dyDescent="0.25">
      <c r="A35" s="200"/>
      <c r="B35" s="200"/>
      <c r="C35" s="200"/>
      <c r="D35" s="200"/>
      <c r="E35" s="200"/>
      <c r="F35" s="200"/>
      <c r="G35" s="200"/>
      <c r="H35" s="200"/>
      <c r="I35" s="200"/>
      <c r="J35" s="200"/>
    </row>
    <row r="36" spans="1:10" x14ac:dyDescent="0.25">
      <c r="A36" s="200"/>
      <c r="B36" s="200"/>
      <c r="C36" s="200"/>
      <c r="D36" s="200"/>
      <c r="E36" s="200"/>
      <c r="F36" s="200"/>
      <c r="G36" s="200"/>
      <c r="H36" s="200"/>
      <c r="I36" s="200"/>
      <c r="J36" s="200"/>
    </row>
    <row r="37" spans="1:10" x14ac:dyDescent="0.25">
      <c r="A37" s="200"/>
      <c r="B37" s="200"/>
      <c r="C37" s="200"/>
      <c r="D37" s="200"/>
      <c r="E37" s="200"/>
      <c r="F37" s="200"/>
      <c r="G37" s="200"/>
      <c r="H37" s="200"/>
      <c r="I37" s="200"/>
      <c r="J37" s="200"/>
    </row>
    <row r="38" spans="1:10" x14ac:dyDescent="0.25">
      <c r="A38" s="200"/>
      <c r="B38" s="200"/>
      <c r="C38" s="200"/>
      <c r="D38" s="200"/>
      <c r="E38" s="200"/>
      <c r="F38" s="200"/>
      <c r="G38" s="200"/>
      <c r="H38" s="200"/>
      <c r="I38" s="200"/>
      <c r="J38" s="200"/>
    </row>
    <row r="39" spans="1:10" x14ac:dyDescent="0.25">
      <c r="A39" s="200"/>
      <c r="B39" s="200"/>
      <c r="C39" s="200"/>
      <c r="D39" s="200"/>
      <c r="E39" s="200"/>
      <c r="F39" s="200"/>
      <c r="G39" s="200"/>
      <c r="H39" s="200"/>
      <c r="I39" s="200"/>
      <c r="J39" s="200"/>
    </row>
    <row r="40" spans="1:10" x14ac:dyDescent="0.25">
      <c r="A40" s="200"/>
      <c r="B40" s="200"/>
      <c r="C40" s="200"/>
      <c r="D40" s="200"/>
      <c r="E40" s="200"/>
      <c r="F40" s="200"/>
      <c r="G40" s="200"/>
      <c r="H40" s="200"/>
      <c r="I40" s="200"/>
      <c r="J40" s="200"/>
    </row>
    <row r="41" spans="1:10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200"/>
    </row>
    <row r="42" spans="1:10" x14ac:dyDescent="0.25">
      <c r="A42" s="200"/>
      <c r="B42" s="200"/>
      <c r="C42" s="200"/>
      <c r="D42" s="200"/>
      <c r="E42" s="200"/>
      <c r="F42" s="200"/>
      <c r="G42" s="200"/>
      <c r="H42" s="200"/>
      <c r="I42" s="200"/>
      <c r="J42" s="200"/>
    </row>
    <row r="43" spans="1:10" x14ac:dyDescent="0.25">
      <c r="A43" s="200"/>
      <c r="B43" s="200"/>
      <c r="C43" s="200"/>
      <c r="D43" s="200"/>
      <c r="E43" s="200"/>
      <c r="F43" s="200"/>
      <c r="G43" s="200"/>
      <c r="H43" s="200"/>
      <c r="I43" s="200"/>
      <c r="J43" s="200"/>
    </row>
    <row r="44" spans="1:10" x14ac:dyDescent="0.25">
      <c r="A44" s="200"/>
      <c r="B44" s="200"/>
      <c r="C44" s="200"/>
      <c r="D44" s="200"/>
      <c r="E44" s="200"/>
      <c r="F44" s="200"/>
      <c r="G44" s="200"/>
      <c r="H44" s="200"/>
      <c r="I44" s="200"/>
      <c r="J44" s="200"/>
    </row>
  </sheetData>
  <mergeCells count="2">
    <mergeCell ref="A23:J23"/>
    <mergeCell ref="A24:J24"/>
  </mergeCells>
  <phoneticPr fontId="0" type="noConversion"/>
  <printOptions horizontalCentered="1"/>
  <pageMargins left="0.70866141732283472" right="0.74803149606299213" top="0.94488188976377963" bottom="0.59055118110236227" header="0.43307086614173229" footer="0.39370078740157483"/>
  <pageSetup paperSize="9" scale="94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I44"/>
  <sheetViews>
    <sheetView view="pageBreakPreview" zoomScale="85" zoomScaleNormal="75" workbookViewId="0">
      <selection activeCell="F27" sqref="F27"/>
    </sheetView>
  </sheetViews>
  <sheetFormatPr defaultColWidth="8.88671875" defaultRowHeight="13.2" x14ac:dyDescent="0.25"/>
  <cols>
    <col min="1" max="1" width="19" style="24" customWidth="1"/>
    <col min="2" max="2" width="17.33203125" style="24" customWidth="1"/>
    <col min="3" max="3" width="21.44140625" style="24" customWidth="1"/>
    <col min="4" max="4" width="20.33203125" style="24" customWidth="1"/>
    <col min="5" max="5" width="14.5546875" style="24" customWidth="1"/>
    <col min="6" max="6" width="7.33203125" style="24" customWidth="1"/>
    <col min="7" max="7" width="15.88671875" style="24" customWidth="1"/>
    <col min="8" max="16384" width="8.88671875" style="24"/>
  </cols>
  <sheetData>
    <row r="1" spans="1:8" ht="15.6" x14ac:dyDescent="0.3">
      <c r="A1" s="592" t="s">
        <v>280</v>
      </c>
      <c r="B1" s="592"/>
      <c r="C1" s="592"/>
      <c r="D1" s="592"/>
      <c r="E1" s="592"/>
      <c r="F1" s="592"/>
      <c r="G1" s="592"/>
      <c r="H1" s="54" t="s">
        <v>466</v>
      </c>
    </row>
    <row r="3" spans="1:8" x14ac:dyDescent="0.25">
      <c r="A3" s="3" t="s">
        <v>511</v>
      </c>
    </row>
    <row r="4" spans="1:8" x14ac:dyDescent="0.25">
      <c r="A4" s="3" t="s">
        <v>281</v>
      </c>
    </row>
    <row r="6" spans="1:8" x14ac:dyDescent="0.25">
      <c r="A6" s="24" t="s">
        <v>282</v>
      </c>
    </row>
    <row r="7" spans="1:8" x14ac:dyDescent="0.25">
      <c r="A7" s="24" t="s">
        <v>399</v>
      </c>
    </row>
    <row r="8" spans="1:8" ht="4.2" customHeight="1" x14ac:dyDescent="0.25"/>
    <row r="9" spans="1:8" x14ac:dyDescent="0.25">
      <c r="E9" s="101" t="s">
        <v>277</v>
      </c>
    </row>
    <row r="10" spans="1:8" ht="26.4" x14ac:dyDescent="0.25">
      <c r="A10" s="474" t="s">
        <v>283</v>
      </c>
      <c r="B10" s="474" t="s">
        <v>284</v>
      </c>
      <c r="C10" s="474" t="s">
        <v>285</v>
      </c>
      <c r="D10" s="474" t="s">
        <v>286</v>
      </c>
      <c r="E10" s="474" t="s">
        <v>287</v>
      </c>
    </row>
    <row r="11" spans="1:8" x14ac:dyDescent="0.25">
      <c r="A11" s="481" t="s">
        <v>288</v>
      </c>
      <c r="B11" s="483" t="s">
        <v>278</v>
      </c>
      <c r="C11" s="481" t="s">
        <v>289</v>
      </c>
      <c r="D11" s="481" t="s">
        <v>290</v>
      </c>
      <c r="E11" s="407">
        <v>1</v>
      </c>
    </row>
    <row r="12" spans="1:8" x14ac:dyDescent="0.25">
      <c r="A12" s="481" t="s">
        <v>288</v>
      </c>
      <c r="B12" s="483" t="s">
        <v>278</v>
      </c>
      <c r="C12" s="481" t="s">
        <v>291</v>
      </c>
      <c r="D12" s="481" t="s">
        <v>290</v>
      </c>
      <c r="E12" s="407">
        <v>1.1499999999999999</v>
      </c>
    </row>
    <row r="13" spans="1:8" x14ac:dyDescent="0.25">
      <c r="A13" s="481" t="s">
        <v>292</v>
      </c>
      <c r="B13" s="483" t="s">
        <v>293</v>
      </c>
      <c r="C13" s="481" t="s">
        <v>289</v>
      </c>
      <c r="D13" s="481" t="s">
        <v>290</v>
      </c>
      <c r="E13" s="407">
        <v>1</v>
      </c>
    </row>
    <row r="14" spans="1:8" x14ac:dyDescent="0.25">
      <c r="A14" s="481" t="s">
        <v>292</v>
      </c>
      <c r="B14" s="483" t="s">
        <v>293</v>
      </c>
      <c r="C14" s="481" t="s">
        <v>289</v>
      </c>
      <c r="D14" s="281" t="s">
        <v>785</v>
      </c>
      <c r="E14" s="407">
        <v>1.05</v>
      </c>
      <c r="H14" s="94"/>
    </row>
    <row r="15" spans="1:8" x14ac:dyDescent="0.25">
      <c r="A15" s="481" t="s">
        <v>292</v>
      </c>
      <c r="B15" s="483" t="s">
        <v>293</v>
      </c>
      <c r="C15" s="481" t="s">
        <v>291</v>
      </c>
      <c r="D15" s="481" t="s">
        <v>290</v>
      </c>
      <c r="E15" s="407">
        <v>1.1499999999999999</v>
      </c>
    </row>
    <row r="16" spans="1:8" x14ac:dyDescent="0.25">
      <c r="A16" s="481" t="s">
        <v>292</v>
      </c>
      <c r="B16" s="483" t="s">
        <v>293</v>
      </c>
      <c r="C16" s="481" t="s">
        <v>291</v>
      </c>
      <c r="D16" s="281" t="s">
        <v>785</v>
      </c>
      <c r="E16" s="407">
        <v>1.2189999999999999</v>
      </c>
      <c r="H16" s="94"/>
    </row>
    <row r="17" spans="1:8" x14ac:dyDescent="0.25">
      <c r="A17" s="481" t="s">
        <v>292</v>
      </c>
      <c r="B17" s="480" t="s">
        <v>294</v>
      </c>
      <c r="C17" s="481" t="s">
        <v>289</v>
      </c>
      <c r="D17" s="481" t="s">
        <v>290</v>
      </c>
      <c r="E17" s="407">
        <v>1.2</v>
      </c>
    </row>
    <row r="18" spans="1:8" x14ac:dyDescent="0.25">
      <c r="A18" s="481" t="s">
        <v>292</v>
      </c>
      <c r="B18" s="480" t="s">
        <v>294</v>
      </c>
      <c r="C18" s="481" t="s">
        <v>289</v>
      </c>
      <c r="D18" s="281" t="s">
        <v>785</v>
      </c>
      <c r="E18" s="407">
        <v>1.26</v>
      </c>
      <c r="H18" s="94"/>
    </row>
    <row r="19" spans="1:8" x14ac:dyDescent="0.25">
      <c r="A19" s="481" t="s">
        <v>292</v>
      </c>
      <c r="B19" s="480" t="s">
        <v>294</v>
      </c>
      <c r="C19" s="481" t="s">
        <v>291</v>
      </c>
      <c r="D19" s="481" t="s">
        <v>290</v>
      </c>
      <c r="E19" s="407">
        <v>1.38</v>
      </c>
      <c r="H19" s="107"/>
    </row>
    <row r="20" spans="1:8" x14ac:dyDescent="0.25">
      <c r="A20" s="481" t="s">
        <v>292</v>
      </c>
      <c r="B20" s="480" t="s">
        <v>294</v>
      </c>
      <c r="C20" s="481" t="s">
        <v>291</v>
      </c>
      <c r="D20" s="281" t="s">
        <v>785</v>
      </c>
      <c r="E20" s="407">
        <v>1.4490000000000001</v>
      </c>
      <c r="H20" s="94"/>
    </row>
    <row r="21" spans="1:8" x14ac:dyDescent="0.25">
      <c r="A21" s="481" t="s">
        <v>292</v>
      </c>
      <c r="B21" s="480" t="s">
        <v>115</v>
      </c>
      <c r="C21" s="481" t="s">
        <v>289</v>
      </c>
      <c r="D21" s="481" t="s">
        <v>290</v>
      </c>
      <c r="E21" s="407">
        <v>0.95</v>
      </c>
    </row>
    <row r="22" spans="1:8" x14ac:dyDescent="0.25">
      <c r="A22" s="481" t="s">
        <v>292</v>
      </c>
      <c r="B22" s="480" t="s">
        <v>115</v>
      </c>
      <c r="C22" s="481" t="s">
        <v>289</v>
      </c>
      <c r="D22" s="281" t="s">
        <v>785</v>
      </c>
      <c r="E22" s="407">
        <v>0.99719999999999998</v>
      </c>
      <c r="H22" s="94"/>
    </row>
    <row r="23" spans="1:8" x14ac:dyDescent="0.25">
      <c r="A23" s="481" t="s">
        <v>292</v>
      </c>
      <c r="B23" s="480" t="s">
        <v>115</v>
      </c>
      <c r="C23" s="481" t="s">
        <v>291</v>
      </c>
      <c r="D23" s="481" t="s">
        <v>290</v>
      </c>
      <c r="E23" s="407">
        <v>1.0925</v>
      </c>
    </row>
    <row r="24" spans="1:8" x14ac:dyDescent="0.25">
      <c r="A24" s="481" t="s">
        <v>292</v>
      </c>
      <c r="B24" s="480" t="s">
        <v>115</v>
      </c>
      <c r="C24" s="481" t="s">
        <v>291</v>
      </c>
      <c r="D24" s="281" t="s">
        <v>785</v>
      </c>
      <c r="E24" s="407">
        <v>1.1580499999999998</v>
      </c>
      <c r="H24" s="94"/>
    </row>
    <row r="25" spans="1:8" x14ac:dyDescent="0.25">
      <c r="A25" s="70"/>
      <c r="B25" s="237"/>
      <c r="C25" s="70"/>
      <c r="D25" s="70"/>
      <c r="E25" s="238"/>
      <c r="H25" s="94"/>
    </row>
    <row r="26" spans="1:8" x14ac:dyDescent="0.25">
      <c r="A26" s="586" t="s">
        <v>732</v>
      </c>
      <c r="B26" s="586"/>
      <c r="C26" s="586"/>
      <c r="D26" s="282">
        <v>0.05</v>
      </c>
      <c r="E26" s="238"/>
      <c r="H26" s="94"/>
    </row>
    <row r="27" spans="1:8" x14ac:dyDescent="0.25">
      <c r="A27" s="586" t="s">
        <v>815</v>
      </c>
      <c r="B27" s="586"/>
      <c r="C27" s="586"/>
      <c r="D27" s="282">
        <v>0.02</v>
      </c>
      <c r="E27" s="238"/>
      <c r="H27" s="94"/>
    </row>
    <row r="28" spans="1:8" x14ac:dyDescent="0.25">
      <c r="A28" s="586" t="s">
        <v>774</v>
      </c>
      <c r="B28" s="586"/>
      <c r="C28" s="586"/>
      <c r="D28" s="282">
        <v>0.03</v>
      </c>
      <c r="E28" s="238"/>
      <c r="H28" s="94"/>
    </row>
    <row r="29" spans="1:8" x14ac:dyDescent="0.25">
      <c r="A29" s="586" t="s">
        <v>775</v>
      </c>
      <c r="B29" s="586"/>
      <c r="C29" s="586"/>
      <c r="D29" s="282">
        <v>0.03</v>
      </c>
      <c r="E29" s="238"/>
      <c r="H29" s="94"/>
    </row>
    <row r="30" spans="1:8" x14ac:dyDescent="0.25">
      <c r="A30" s="586" t="s">
        <v>752</v>
      </c>
      <c r="B30" s="586"/>
      <c r="C30" s="586"/>
      <c r="D30" s="282">
        <v>0.04</v>
      </c>
      <c r="E30" s="238"/>
      <c r="H30" s="94"/>
    </row>
    <row r="31" spans="1:8" x14ac:dyDescent="0.25">
      <c r="A31" s="586" t="s">
        <v>748</v>
      </c>
      <c r="B31" s="586"/>
      <c r="C31" s="586"/>
      <c r="D31" s="282">
        <v>0.09</v>
      </c>
      <c r="E31" s="238"/>
      <c r="H31" s="94"/>
    </row>
    <row r="32" spans="1:8" x14ac:dyDescent="0.25">
      <c r="A32" s="586" t="s">
        <v>835</v>
      </c>
      <c r="B32" s="586"/>
      <c r="C32" s="586"/>
      <c r="D32" s="282">
        <v>0.04</v>
      </c>
      <c r="E32" s="238"/>
      <c r="H32" s="94"/>
    </row>
    <row r="33" spans="1:9" x14ac:dyDescent="0.25">
      <c r="A33" s="586" t="s">
        <v>751</v>
      </c>
      <c r="B33" s="586"/>
      <c r="C33" s="586"/>
      <c r="D33" s="282">
        <v>0.05</v>
      </c>
      <c r="E33" s="238"/>
      <c r="H33" s="94"/>
    </row>
    <row r="34" spans="1:9" x14ac:dyDescent="0.25">
      <c r="E34" s="238"/>
      <c r="H34" s="94"/>
    </row>
    <row r="35" spans="1:9" x14ac:dyDescent="0.25">
      <c r="A35" s="70"/>
      <c r="B35" s="237"/>
      <c r="C35" s="70"/>
      <c r="D35" s="70"/>
      <c r="E35" s="238"/>
      <c r="H35" s="94"/>
    </row>
    <row r="36" spans="1:9" x14ac:dyDescent="0.25">
      <c r="A36" s="70" t="s">
        <v>777</v>
      </c>
      <c r="B36" s="237"/>
      <c r="C36" s="70"/>
      <c r="D36" s="70"/>
      <c r="E36" s="238"/>
      <c r="H36" s="94"/>
    </row>
    <row r="37" spans="1:9" ht="26.4" x14ac:dyDescent="0.25">
      <c r="A37" s="283" t="s">
        <v>781</v>
      </c>
      <c r="B37" s="284" t="s">
        <v>733</v>
      </c>
      <c r="C37" s="264" t="s">
        <v>734</v>
      </c>
      <c r="D37" s="284" t="s">
        <v>735</v>
      </c>
      <c r="E37" s="70"/>
      <c r="F37" s="238"/>
      <c r="I37" s="94"/>
    </row>
    <row r="38" spans="1:9" x14ac:dyDescent="0.25">
      <c r="A38" s="283" t="s">
        <v>782</v>
      </c>
      <c r="B38" s="285" t="s">
        <v>778</v>
      </c>
      <c r="C38" s="285" t="s">
        <v>779</v>
      </c>
      <c r="D38" s="285" t="s">
        <v>780</v>
      </c>
      <c r="E38" s="70"/>
      <c r="F38" s="238"/>
      <c r="I38" s="94"/>
    </row>
    <row r="39" spans="1:9" ht="13.2" customHeight="1" x14ac:dyDescent="0.4">
      <c r="A39" s="244"/>
      <c r="B39" s="244"/>
      <c r="C39" s="244"/>
    </row>
    <row r="40" spans="1:9" ht="13.2" customHeight="1" x14ac:dyDescent="0.4">
      <c r="A40" s="24" t="s">
        <v>783</v>
      </c>
      <c r="B40" s="244"/>
      <c r="C40" s="244"/>
    </row>
    <row r="41" spans="1:9" ht="13.2" customHeight="1" x14ac:dyDescent="0.4">
      <c r="A41" s="24" t="s">
        <v>784</v>
      </c>
      <c r="B41" s="244"/>
      <c r="C41" s="244"/>
    </row>
    <row r="42" spans="1:9" ht="13.2" customHeight="1" x14ac:dyDescent="0.4">
      <c r="A42" s="244"/>
      <c r="B42" s="244"/>
      <c r="C42" s="244"/>
    </row>
    <row r="43" spans="1:9" ht="13.2" customHeight="1" x14ac:dyDescent="0.4">
      <c r="A43" s="244"/>
      <c r="B43" s="244"/>
      <c r="C43" s="244"/>
    </row>
    <row r="44" spans="1:9" x14ac:dyDescent="0.25">
      <c r="A44" s="24" t="s">
        <v>736</v>
      </c>
    </row>
  </sheetData>
  <mergeCells count="9">
    <mergeCell ref="A31:C31"/>
    <mergeCell ref="A33:C33"/>
    <mergeCell ref="A29:C29"/>
    <mergeCell ref="A1:G1"/>
    <mergeCell ref="A26:C26"/>
    <mergeCell ref="A28:C28"/>
    <mergeCell ref="A30:C30"/>
    <mergeCell ref="A27:C27"/>
    <mergeCell ref="A32:C32"/>
  </mergeCells>
  <phoneticPr fontId="0" type="noConversion"/>
  <hyperlinks>
    <hyperlink ref="H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B1:H63"/>
  <sheetViews>
    <sheetView view="pageBreakPreview" topLeftCell="A11" zoomScale="85" zoomScaleNormal="75" workbookViewId="0">
      <selection activeCell="D50" sqref="D50"/>
    </sheetView>
  </sheetViews>
  <sheetFormatPr defaultColWidth="8.88671875" defaultRowHeight="13.2" x14ac:dyDescent="0.25"/>
  <cols>
    <col min="1" max="1" width="8.88671875" style="10"/>
    <col min="2" max="2" width="9.44140625" style="10" customWidth="1"/>
    <col min="3" max="3" width="20.5546875" style="10" customWidth="1"/>
    <col min="4" max="4" width="13.33203125" style="10" customWidth="1"/>
    <col min="5" max="5" width="12.33203125" style="10" customWidth="1"/>
    <col min="6" max="6" width="12" style="10" customWidth="1"/>
    <col min="7" max="7" width="13.44140625" style="10" customWidth="1"/>
    <col min="8" max="8" width="12.6640625" style="10" customWidth="1"/>
    <col min="9" max="16384" width="8.88671875" style="10"/>
  </cols>
  <sheetData>
    <row r="1" spans="2:8" s="24" customFormat="1" x14ac:dyDescent="0.25">
      <c r="G1" s="29">
        <v>41091</v>
      </c>
      <c r="H1" s="54" t="s">
        <v>466</v>
      </c>
    </row>
    <row r="2" spans="2:8" s="24" customFormat="1" ht="13.2" customHeight="1" x14ac:dyDescent="0.25">
      <c r="B2" s="573" t="s">
        <v>364</v>
      </c>
      <c r="C2" s="573"/>
      <c r="D2" s="573"/>
      <c r="E2" s="573"/>
      <c r="F2" s="568" t="s">
        <v>365</v>
      </c>
      <c r="G2" s="568"/>
    </row>
    <row r="3" spans="2:8" s="24" customFormat="1" x14ac:dyDescent="0.25">
      <c r="B3" s="573"/>
      <c r="C3" s="573"/>
      <c r="D3" s="573"/>
      <c r="E3" s="573"/>
      <c r="F3" s="568"/>
      <c r="G3" s="568"/>
    </row>
    <row r="4" spans="2:8" s="24" customFormat="1" ht="13.2" customHeight="1" x14ac:dyDescent="0.25">
      <c r="B4" s="565" t="s">
        <v>104</v>
      </c>
      <c r="C4" s="565" t="s">
        <v>359</v>
      </c>
      <c r="D4" s="565" t="s">
        <v>501</v>
      </c>
      <c r="E4" s="565"/>
      <c r="F4" s="565" t="s">
        <v>500</v>
      </c>
      <c r="G4" s="565"/>
    </row>
    <row r="5" spans="2:8" s="24" customFormat="1" x14ac:dyDescent="0.25">
      <c r="B5" s="565"/>
      <c r="C5" s="565"/>
      <c r="D5" s="475" t="s">
        <v>120</v>
      </c>
      <c r="E5" s="475" t="s">
        <v>264</v>
      </c>
      <c r="F5" s="475" t="s">
        <v>120</v>
      </c>
      <c r="G5" s="475" t="s">
        <v>264</v>
      </c>
    </row>
    <row r="6" spans="2:8" s="24" customFormat="1" x14ac:dyDescent="0.25">
      <c r="B6" s="593" t="s">
        <v>366</v>
      </c>
      <c r="C6" s="593"/>
      <c r="D6" s="593"/>
      <c r="E6" s="593"/>
      <c r="F6" s="593"/>
      <c r="G6" s="593"/>
    </row>
    <row r="7" spans="2:8" s="24" customFormat="1" x14ac:dyDescent="0.25">
      <c r="B7" s="286">
        <v>1.8</v>
      </c>
      <c r="C7" s="286">
        <v>16</v>
      </c>
      <c r="D7" s="287"/>
      <c r="E7" s="287">
        <f>3312.35*1.05</f>
        <v>3477.9675000000002</v>
      </c>
      <c r="F7" s="287"/>
      <c r="G7" s="287">
        <f t="shared" ref="G7:G19" si="0">E7/C7*1000</f>
        <v>217372.96875</v>
      </c>
    </row>
    <row r="8" spans="2:8" s="24" customFormat="1" x14ac:dyDescent="0.25">
      <c r="B8" s="286">
        <v>2.2000000000000002</v>
      </c>
      <c r="C8" s="286">
        <v>23.7</v>
      </c>
      <c r="D8" s="287"/>
      <c r="E8" s="287">
        <f>3929.84*1.05</f>
        <v>4126.3320000000003</v>
      </c>
      <c r="F8" s="287"/>
      <c r="G8" s="287">
        <f t="shared" si="0"/>
        <v>174106.835443038</v>
      </c>
    </row>
    <row r="9" spans="2:8" s="24" customFormat="1" x14ac:dyDescent="0.25">
      <c r="B9" s="286">
        <v>2.4</v>
      </c>
      <c r="C9" s="286">
        <v>29.4</v>
      </c>
      <c r="D9" s="287"/>
      <c r="E9" s="287">
        <f>4522.56*1.05</f>
        <v>4748.688000000001</v>
      </c>
      <c r="F9" s="287"/>
      <c r="G9" s="287">
        <f t="shared" si="0"/>
        <v>161520.00000000003</v>
      </c>
    </row>
    <row r="10" spans="2:8" s="24" customFormat="1" x14ac:dyDescent="0.25">
      <c r="B10" s="286">
        <v>2.5</v>
      </c>
      <c r="C10" s="286">
        <v>31.4</v>
      </c>
      <c r="D10" s="287"/>
      <c r="E10" s="287">
        <f>4774.12*1.05</f>
        <v>5012.826</v>
      </c>
      <c r="F10" s="287"/>
      <c r="G10" s="287">
        <f t="shared" si="0"/>
        <v>159644.14012738853</v>
      </c>
    </row>
    <row r="11" spans="2:8" s="24" customFormat="1" x14ac:dyDescent="0.25">
      <c r="B11" s="593" t="s">
        <v>367</v>
      </c>
      <c r="C11" s="593"/>
      <c r="D11" s="593"/>
      <c r="E11" s="593"/>
      <c r="F11" s="593"/>
      <c r="G11" s="593"/>
    </row>
    <row r="12" spans="2:8" s="24" customFormat="1" x14ac:dyDescent="0.25">
      <c r="B12" s="286">
        <v>3.2</v>
      </c>
      <c r="C12" s="286">
        <v>54</v>
      </c>
      <c r="D12" s="287"/>
      <c r="E12" s="287">
        <f>10227.16*1.05</f>
        <v>10738.518</v>
      </c>
      <c r="F12" s="287"/>
      <c r="G12" s="287">
        <f t="shared" si="0"/>
        <v>198861.44444444447</v>
      </c>
    </row>
    <row r="13" spans="2:8" s="24" customFormat="1" x14ac:dyDescent="0.25">
      <c r="B13" s="286">
        <v>3.6</v>
      </c>
      <c r="C13" s="286">
        <v>64.099999999999994</v>
      </c>
      <c r="D13" s="287"/>
      <c r="E13" s="287">
        <f>10874.3*1.05</f>
        <v>11418.014999999999</v>
      </c>
      <c r="F13" s="287"/>
      <c r="G13" s="287">
        <f t="shared" si="0"/>
        <v>178128.15912636506</v>
      </c>
    </row>
    <row r="14" spans="2:8" s="24" customFormat="1" x14ac:dyDescent="0.25">
      <c r="B14" s="286">
        <v>4</v>
      </c>
      <c r="C14" s="286">
        <v>81.2</v>
      </c>
      <c r="D14" s="287"/>
      <c r="E14" s="287">
        <f>13714.41*1.05</f>
        <v>14400.130500000001</v>
      </c>
      <c r="F14" s="287"/>
      <c r="G14" s="287">
        <f t="shared" si="0"/>
        <v>177341.50862068965</v>
      </c>
    </row>
    <row r="15" spans="2:8" s="24" customFormat="1" x14ac:dyDescent="0.25">
      <c r="B15" s="286">
        <v>4.5</v>
      </c>
      <c r="C15" s="286">
        <v>97.8</v>
      </c>
      <c r="D15" s="287"/>
      <c r="E15" s="287">
        <f>15397.27*1.05</f>
        <v>16167.133500000002</v>
      </c>
      <c r="F15" s="287"/>
      <c r="G15" s="287">
        <f t="shared" si="0"/>
        <v>165308.11349693255</v>
      </c>
    </row>
    <row r="16" spans="2:8" s="24" customFormat="1" x14ac:dyDescent="0.25">
      <c r="B16" s="286">
        <v>5</v>
      </c>
      <c r="C16" s="286">
        <v>129.30000000000001</v>
      </c>
      <c r="D16" s="287"/>
      <c r="E16" s="287">
        <f>17320.28*1.05</f>
        <v>18186.293999999998</v>
      </c>
      <c r="F16" s="287"/>
      <c r="G16" s="287">
        <f t="shared" si="0"/>
        <v>140651.9257540603</v>
      </c>
    </row>
    <row r="17" spans="2:8" s="24" customFormat="1" x14ac:dyDescent="0.25">
      <c r="B17" s="286">
        <v>5.6</v>
      </c>
      <c r="C17" s="286">
        <v>159.6</v>
      </c>
      <c r="D17" s="287"/>
      <c r="E17" s="287">
        <f>20350.97*1.05</f>
        <v>21368.518500000002</v>
      </c>
      <c r="F17" s="287"/>
      <c r="G17" s="287">
        <f t="shared" si="0"/>
        <v>133887.96052631579</v>
      </c>
    </row>
    <row r="18" spans="2:8" s="24" customFormat="1" x14ac:dyDescent="0.25">
      <c r="B18" s="286">
        <v>6</v>
      </c>
      <c r="C18" s="286">
        <v>175.5</v>
      </c>
      <c r="D18" s="287"/>
      <c r="E18" s="287">
        <f>20454.42*1.05</f>
        <v>21477.141</v>
      </c>
      <c r="F18" s="287"/>
      <c r="G18" s="287">
        <f t="shared" si="0"/>
        <v>122376.87179487178</v>
      </c>
    </row>
    <row r="19" spans="2:8" s="24" customFormat="1" x14ac:dyDescent="0.25">
      <c r="B19" s="286">
        <v>6.4</v>
      </c>
      <c r="C19" s="286">
        <v>197.5</v>
      </c>
      <c r="D19" s="287"/>
      <c r="E19" s="287">
        <f>22812.73*1.05</f>
        <v>23953.3665</v>
      </c>
      <c r="F19" s="287"/>
      <c r="G19" s="287">
        <f t="shared" si="0"/>
        <v>121282.86835443038</v>
      </c>
    </row>
    <row r="20" spans="2:8" s="24" customFormat="1" x14ac:dyDescent="0.25">
      <c r="B20" s="88"/>
      <c r="C20" s="88"/>
      <c r="D20" s="80"/>
      <c r="E20" s="80"/>
      <c r="F20" s="80"/>
      <c r="G20" s="80"/>
    </row>
    <row r="21" spans="2:8" s="24" customFormat="1" ht="9.75" customHeight="1" x14ac:dyDescent="0.25">
      <c r="B21" s="10"/>
      <c r="C21" s="10"/>
      <c r="D21" s="10"/>
      <c r="E21" s="10"/>
      <c r="F21" s="10"/>
      <c r="G21" s="29">
        <v>41000</v>
      </c>
    </row>
    <row r="22" spans="2:8" x14ac:dyDescent="0.25">
      <c r="B22" s="583" t="s">
        <v>128</v>
      </c>
      <c r="C22" s="583"/>
      <c r="D22" s="583"/>
      <c r="E22" s="583"/>
      <c r="F22" s="568" t="s">
        <v>165</v>
      </c>
      <c r="G22" s="568"/>
    </row>
    <row r="23" spans="2:8" x14ac:dyDescent="0.25">
      <c r="B23" s="583" t="s">
        <v>166</v>
      </c>
      <c r="C23" s="583"/>
      <c r="D23" s="583"/>
      <c r="E23" s="583"/>
      <c r="F23" s="568"/>
      <c r="G23" s="568"/>
    </row>
    <row r="24" spans="2:8" x14ac:dyDescent="0.25">
      <c r="B24" s="565" t="s">
        <v>104</v>
      </c>
      <c r="C24" s="565" t="s">
        <v>119</v>
      </c>
      <c r="D24" s="565" t="s">
        <v>501</v>
      </c>
      <c r="E24" s="565"/>
      <c r="F24" s="565" t="s">
        <v>500</v>
      </c>
      <c r="G24" s="565"/>
    </row>
    <row r="25" spans="2:8" ht="25.95" customHeight="1" x14ac:dyDescent="0.25">
      <c r="B25" s="565"/>
      <c r="C25" s="565"/>
      <c r="D25" s="475" t="s">
        <v>120</v>
      </c>
      <c r="E25" s="475" t="s">
        <v>264</v>
      </c>
      <c r="F25" s="475" t="s">
        <v>120</v>
      </c>
      <c r="G25" s="475" t="s">
        <v>264</v>
      </c>
    </row>
    <row r="26" spans="2:8" x14ac:dyDescent="0.25">
      <c r="B26" s="269">
        <v>3.6</v>
      </c>
      <c r="C26" s="288">
        <v>48.8</v>
      </c>
      <c r="D26" s="287">
        <f>8051.38*1.05</f>
        <v>8453.9490000000005</v>
      </c>
      <c r="E26" s="287">
        <f>11560.75*0.96</f>
        <v>11098.32</v>
      </c>
      <c r="F26" s="287">
        <f>D26/C26*1000</f>
        <v>173236.65983606561</v>
      </c>
      <c r="G26" s="287">
        <f t="shared" ref="G26:G62" si="1">E26/C26*1000</f>
        <v>227424.59016393442</v>
      </c>
    </row>
    <row r="27" spans="2:8" x14ac:dyDescent="0.25">
      <c r="B27" s="269">
        <v>3.8</v>
      </c>
      <c r="C27" s="288">
        <v>55.1</v>
      </c>
      <c r="D27" s="287">
        <f>8259.65*1.05</f>
        <v>8672.6324999999997</v>
      </c>
      <c r="E27" s="287">
        <f>11888.84*0.96</f>
        <v>11413.286399999999</v>
      </c>
      <c r="F27" s="287">
        <f t="shared" ref="F27:F62" si="2">D27/C27*1000</f>
        <v>157398.04900181488</v>
      </c>
      <c r="G27" s="287">
        <f t="shared" si="1"/>
        <v>207137.68421052629</v>
      </c>
      <c r="H27" s="182"/>
    </row>
    <row r="28" spans="2:8" x14ac:dyDescent="0.25">
      <c r="B28" s="269">
        <v>4.0999999999999996</v>
      </c>
      <c r="C28" s="288">
        <v>64.099999999999994</v>
      </c>
      <c r="D28" s="287">
        <f>9177.28*1.05</f>
        <v>9636.1440000000002</v>
      </c>
      <c r="E28" s="287">
        <f>13003.4*0.96</f>
        <v>12483.263999999999</v>
      </c>
      <c r="F28" s="287">
        <f t="shared" si="2"/>
        <v>150329.8595943838</v>
      </c>
      <c r="G28" s="287">
        <f t="shared" si="1"/>
        <v>194746.70826833072</v>
      </c>
      <c r="H28" s="182"/>
    </row>
    <row r="29" spans="2:8" x14ac:dyDescent="0.25">
      <c r="B29" s="269">
        <v>4.5</v>
      </c>
      <c r="C29" s="288">
        <v>73.900000000000006</v>
      </c>
      <c r="D29" s="287">
        <f>9353.87*1.05</f>
        <v>9821.563500000002</v>
      </c>
      <c r="E29" s="287">
        <f>13462.94*0.96</f>
        <v>12924.422399999999</v>
      </c>
      <c r="F29" s="287">
        <f t="shared" si="2"/>
        <v>132903.43031123141</v>
      </c>
      <c r="G29" s="287">
        <f t="shared" si="1"/>
        <v>174890.69553450609</v>
      </c>
      <c r="H29" s="182"/>
    </row>
    <row r="30" spans="2:8" x14ac:dyDescent="0.25">
      <c r="B30" s="269">
        <v>4.8</v>
      </c>
      <c r="C30" s="288">
        <v>84.4</v>
      </c>
      <c r="D30" s="287">
        <f>9869.75*1.05</f>
        <v>10363.237500000001</v>
      </c>
      <c r="E30" s="287">
        <f>14426.23*0.96</f>
        <v>13849.180799999998</v>
      </c>
      <c r="F30" s="287">
        <f t="shared" si="2"/>
        <v>122787.17417061611</v>
      </c>
      <c r="G30" s="287">
        <f t="shared" si="1"/>
        <v>164089.81990521323</v>
      </c>
      <c r="H30" s="182"/>
    </row>
    <row r="31" spans="2:8" x14ac:dyDescent="0.25">
      <c r="B31" s="269">
        <v>5.0999999999999996</v>
      </c>
      <c r="C31" s="288">
        <v>95.5</v>
      </c>
      <c r="D31" s="287">
        <f>10369.39*1.05</f>
        <v>10887.8595</v>
      </c>
      <c r="E31" s="287">
        <f>15159.14*0.96</f>
        <v>14552.774399999998</v>
      </c>
      <c r="F31" s="287">
        <f t="shared" si="2"/>
        <v>114009</v>
      </c>
      <c r="G31" s="287">
        <f t="shared" si="1"/>
        <v>152385.07225130888</v>
      </c>
      <c r="H31" s="182"/>
    </row>
    <row r="32" spans="2:8" x14ac:dyDescent="0.25">
      <c r="B32" s="269">
        <v>5.6</v>
      </c>
      <c r="C32" s="288">
        <v>116.5</v>
      </c>
      <c r="D32" s="287">
        <f>10920.62*1.05</f>
        <v>11466.651000000002</v>
      </c>
      <c r="E32" s="287">
        <f>15911*0.96</f>
        <v>15274.56</v>
      </c>
      <c r="F32" s="287">
        <f t="shared" si="2"/>
        <v>98426.188841201729</v>
      </c>
      <c r="G32" s="287">
        <f t="shared" si="1"/>
        <v>131112.10300429183</v>
      </c>
      <c r="H32" s="182"/>
    </row>
    <row r="33" spans="2:8" x14ac:dyDescent="0.25">
      <c r="B33" s="269">
        <v>6.2</v>
      </c>
      <c r="C33" s="288">
        <v>141.6</v>
      </c>
      <c r="D33" s="287">
        <f>12378.92*1.05</f>
        <v>12997.866</v>
      </c>
      <c r="E33" s="287">
        <f>17999.43*0.96</f>
        <v>17279.452799999999</v>
      </c>
      <c r="F33" s="287">
        <f t="shared" si="2"/>
        <v>91792.838983050853</v>
      </c>
      <c r="G33" s="287">
        <f t="shared" si="1"/>
        <v>122030.03389830508</v>
      </c>
      <c r="H33" s="182"/>
    </row>
    <row r="34" spans="2:8" x14ac:dyDescent="0.25">
      <c r="B34" s="269">
        <v>6.9</v>
      </c>
      <c r="C34" s="288">
        <v>176.6</v>
      </c>
      <c r="D34" s="287">
        <f>14231.9*1.05</f>
        <v>14943.495000000001</v>
      </c>
      <c r="E34" s="287">
        <f>20169.78*0.96</f>
        <v>19362.988799999999</v>
      </c>
      <c r="F34" s="287">
        <f t="shared" si="2"/>
        <v>84617.751981879963</v>
      </c>
      <c r="G34" s="287">
        <f t="shared" si="1"/>
        <v>109643.19818799547</v>
      </c>
      <c r="H34" s="182"/>
    </row>
    <row r="35" spans="2:8" x14ac:dyDescent="0.25">
      <c r="B35" s="269">
        <v>7.6</v>
      </c>
      <c r="C35" s="288">
        <v>211</v>
      </c>
      <c r="D35" s="287">
        <f>16066.84*1.05</f>
        <v>16870.182000000001</v>
      </c>
      <c r="E35" s="287">
        <f>22768.67*0.96</f>
        <v>21857.923199999997</v>
      </c>
      <c r="F35" s="287">
        <f t="shared" si="2"/>
        <v>79953.469194312798</v>
      </c>
      <c r="G35" s="287">
        <f t="shared" si="1"/>
        <v>103592.0530805687</v>
      </c>
      <c r="H35" s="186"/>
    </row>
    <row r="36" spans="2:8" x14ac:dyDescent="0.25">
      <c r="B36" s="269">
        <v>8.3000000000000007</v>
      </c>
      <c r="C36" s="288">
        <v>256</v>
      </c>
      <c r="D36" s="287">
        <f>18340.27*1.05</f>
        <v>19257.283500000001</v>
      </c>
      <c r="E36" s="287">
        <f>25970.16*0.96</f>
        <v>24931.353599999999</v>
      </c>
      <c r="F36" s="287">
        <f t="shared" si="2"/>
        <v>75223.763671875</v>
      </c>
      <c r="G36" s="287">
        <f t="shared" si="1"/>
        <v>97388.099999999991</v>
      </c>
      <c r="H36" s="182"/>
    </row>
    <row r="37" spans="2:8" x14ac:dyDescent="0.25">
      <c r="B37" s="269">
        <v>9.1</v>
      </c>
      <c r="C37" s="288">
        <v>305</v>
      </c>
      <c r="D37" s="287">
        <f>20613.69*1.05</f>
        <v>21644.374499999998</v>
      </c>
      <c r="E37" s="287">
        <f>29210.79*0.96</f>
        <v>28042.358400000001</v>
      </c>
      <c r="F37" s="287">
        <f t="shared" si="2"/>
        <v>70965.162295081973</v>
      </c>
      <c r="G37" s="287">
        <f t="shared" si="1"/>
        <v>91942.158688524607</v>
      </c>
      <c r="H37" s="186"/>
    </row>
    <row r="38" spans="2:8" x14ac:dyDescent="0.25">
      <c r="B38" s="269">
        <v>9.6</v>
      </c>
      <c r="C38" s="288">
        <v>358.6</v>
      </c>
      <c r="D38" s="287">
        <f>22606.1*1.05</f>
        <v>23736.404999999999</v>
      </c>
      <c r="E38" s="287">
        <f>32012.37*0.96</f>
        <v>30731.875199999999</v>
      </c>
      <c r="F38" s="287">
        <f t="shared" si="2"/>
        <v>66191.871165644159</v>
      </c>
      <c r="G38" s="287">
        <f t="shared" si="1"/>
        <v>85699.5962074735</v>
      </c>
      <c r="H38" s="182"/>
    </row>
    <row r="39" spans="2:8" x14ac:dyDescent="0.25">
      <c r="B39" s="269">
        <v>11</v>
      </c>
      <c r="C39" s="288">
        <v>461.6</v>
      </c>
      <c r="D39" s="287">
        <f>27640.69*1.05</f>
        <v>29022.7245</v>
      </c>
      <c r="E39" s="287">
        <f>39165.79*0.96</f>
        <v>37599.1584</v>
      </c>
      <c r="F39" s="287">
        <f t="shared" si="2"/>
        <v>62874.186525129975</v>
      </c>
      <c r="G39" s="287">
        <f t="shared" si="1"/>
        <v>81453.982668977464</v>
      </c>
      <c r="H39" s="182"/>
    </row>
    <row r="40" spans="2:8" x14ac:dyDescent="0.25">
      <c r="B40" s="269">
        <v>12</v>
      </c>
      <c r="C40" s="288">
        <v>527</v>
      </c>
      <c r="D40" s="287">
        <f>31264.35*1.05</f>
        <v>32827.567499999997</v>
      </c>
      <c r="E40" s="287">
        <f>44302.61*0.96</f>
        <v>42530.505599999997</v>
      </c>
      <c r="F40" s="287">
        <f t="shared" si="2"/>
        <v>62291.399430740035</v>
      </c>
      <c r="G40" s="287">
        <f t="shared" si="1"/>
        <v>80703.046679316889</v>
      </c>
      <c r="H40" s="182"/>
    </row>
    <row r="41" spans="2:8" x14ac:dyDescent="0.25">
      <c r="B41" s="269">
        <v>13</v>
      </c>
      <c r="C41" s="288">
        <v>596.6</v>
      </c>
      <c r="D41" s="287">
        <f>33926.81*1.05</f>
        <v>35623.150499999996</v>
      </c>
      <c r="E41" s="287">
        <f>48040.14*0.96</f>
        <v>46118.534399999997</v>
      </c>
      <c r="F41" s="287">
        <f t="shared" si="2"/>
        <v>59710.275729131739</v>
      </c>
      <c r="G41" s="287">
        <f t="shared" si="1"/>
        <v>77302.270197787453</v>
      </c>
      <c r="H41" s="182"/>
    </row>
    <row r="42" spans="2:8" x14ac:dyDescent="0.25">
      <c r="B42" s="269">
        <v>14</v>
      </c>
      <c r="C42" s="288">
        <v>728</v>
      </c>
      <c r="D42" s="287">
        <f>40106.36*1.05</f>
        <v>42111.678</v>
      </c>
      <c r="E42" s="287">
        <f>56811.87*0.96</f>
        <v>54539.395199999999</v>
      </c>
      <c r="F42" s="287">
        <f t="shared" si="2"/>
        <v>57845.711538461539</v>
      </c>
      <c r="G42" s="287">
        <f t="shared" si="1"/>
        <v>74916.751648351652</v>
      </c>
      <c r="H42" s="182"/>
    </row>
    <row r="43" spans="2:8" x14ac:dyDescent="0.25">
      <c r="B43" s="269">
        <v>15</v>
      </c>
      <c r="C43" s="288">
        <v>844</v>
      </c>
      <c r="D43" s="287">
        <f>45696.69*1.05</f>
        <v>47981.524500000007</v>
      </c>
      <c r="E43" s="287">
        <f>64708.75*0.96</f>
        <v>62120.399999999994</v>
      </c>
      <c r="F43" s="287">
        <f t="shared" si="2"/>
        <v>56850.14751184835</v>
      </c>
      <c r="G43" s="287">
        <f t="shared" si="1"/>
        <v>73602.369668246436</v>
      </c>
      <c r="H43" s="182"/>
    </row>
    <row r="44" spans="2:8" x14ac:dyDescent="0.25">
      <c r="B44" s="269">
        <v>16.5</v>
      </c>
      <c r="C44" s="288">
        <v>1025</v>
      </c>
      <c r="D44" s="287">
        <f>54046.78*1.05</f>
        <v>56749.118999999999</v>
      </c>
      <c r="E44" s="287">
        <f>76594.6*0.96</f>
        <v>73530.816000000006</v>
      </c>
      <c r="F44" s="287">
        <f t="shared" si="2"/>
        <v>55364.994146341458</v>
      </c>
      <c r="G44" s="287">
        <f t="shared" si="1"/>
        <v>71737.38146341464</v>
      </c>
      <c r="H44" s="182"/>
    </row>
    <row r="45" spans="2:8" x14ac:dyDescent="0.25">
      <c r="B45" s="269">
        <v>18</v>
      </c>
      <c r="C45" s="288">
        <v>1220</v>
      </c>
      <c r="D45" s="287">
        <f>63862.24*1.05</f>
        <v>67055.351999999999</v>
      </c>
      <c r="E45" s="287">
        <f>90435.69*0.96</f>
        <v>86818.262399999992</v>
      </c>
      <c r="F45" s="287">
        <f t="shared" si="2"/>
        <v>54963.403278688522</v>
      </c>
      <c r="G45" s="287">
        <f t="shared" si="1"/>
        <v>71162.510163934407</v>
      </c>
      <c r="H45" s="182"/>
    </row>
    <row r="46" spans="2:8" x14ac:dyDescent="0.25">
      <c r="B46" s="269">
        <v>19.5</v>
      </c>
      <c r="C46" s="288">
        <v>1405</v>
      </c>
      <c r="D46" s="287">
        <f>72416.48*1.05</f>
        <v>76037.304000000004</v>
      </c>
      <c r="E46" s="287">
        <f>102576.65*0.96</f>
        <v>98473.583999999988</v>
      </c>
      <c r="F46" s="287">
        <f t="shared" si="2"/>
        <v>54119.077580071178</v>
      </c>
      <c r="G46" s="287">
        <f t="shared" si="1"/>
        <v>70087.960142348747</v>
      </c>
      <c r="H46" s="182"/>
    </row>
    <row r="47" spans="2:8" x14ac:dyDescent="0.25">
      <c r="B47" s="269">
        <v>21</v>
      </c>
      <c r="C47" s="288">
        <v>1635</v>
      </c>
      <c r="D47" s="287">
        <f>82753.25*1.05</f>
        <v>86890.912500000006</v>
      </c>
      <c r="E47" s="287">
        <f>117279.89*0.96</f>
        <v>112588.69439999999</v>
      </c>
      <c r="F47" s="287">
        <f t="shared" si="2"/>
        <v>53144.288990825691</v>
      </c>
      <c r="G47" s="287">
        <f t="shared" si="1"/>
        <v>68861.586788990826</v>
      </c>
      <c r="H47" s="182"/>
    </row>
    <row r="48" spans="2:8" x14ac:dyDescent="0.25">
      <c r="B48" s="269">
        <v>22.5</v>
      </c>
      <c r="C48" s="288">
        <v>1850</v>
      </c>
      <c r="D48" s="287">
        <f>93171.51*1.05</f>
        <v>97830.085500000001</v>
      </c>
      <c r="E48" s="287">
        <f>132029.54*0.96</f>
        <v>126748.3584</v>
      </c>
      <c r="F48" s="287">
        <f t="shared" si="2"/>
        <v>52881.127297297295</v>
      </c>
      <c r="G48" s="287">
        <f t="shared" si="1"/>
        <v>68512.626162162167</v>
      </c>
      <c r="H48" s="182"/>
    </row>
    <row r="49" spans="2:8" x14ac:dyDescent="0.25">
      <c r="B49" s="269">
        <v>24</v>
      </c>
      <c r="C49" s="288">
        <v>2110</v>
      </c>
      <c r="D49" s="287">
        <f>105108.61*1.05</f>
        <v>110364.0405</v>
      </c>
      <c r="E49" s="287">
        <f>148882.99*0.96</f>
        <v>142927.67039999997</v>
      </c>
      <c r="F49" s="287">
        <f t="shared" si="2"/>
        <v>52305.232464454974</v>
      </c>
      <c r="G49" s="287">
        <f t="shared" si="1"/>
        <v>67738.23241706159</v>
      </c>
      <c r="H49" s="182"/>
    </row>
    <row r="50" spans="2:8" x14ac:dyDescent="0.25">
      <c r="B50" s="269">
        <v>25.5</v>
      </c>
      <c r="C50" s="288">
        <v>2390</v>
      </c>
      <c r="D50" s="287">
        <f>117735.16*1.05</f>
        <v>123621.91800000001</v>
      </c>
      <c r="E50" s="287">
        <f>166778.67*0.96</f>
        <v>160107.5232</v>
      </c>
      <c r="F50" s="287">
        <f t="shared" si="2"/>
        <v>51724.651882845188</v>
      </c>
      <c r="G50" s="287">
        <f t="shared" si="1"/>
        <v>66990.595481171549</v>
      </c>
      <c r="H50" s="182"/>
    </row>
    <row r="51" spans="2:8" x14ac:dyDescent="0.25">
      <c r="B51" s="269">
        <v>27</v>
      </c>
      <c r="C51" s="288">
        <v>2685</v>
      </c>
      <c r="D51" s="287">
        <f>130922.49*1.05</f>
        <v>137468.61450000003</v>
      </c>
      <c r="E51" s="287">
        <f>185481.19*0.96</f>
        <v>178061.9424</v>
      </c>
      <c r="F51" s="287">
        <f t="shared" si="2"/>
        <v>51198.739106145258</v>
      </c>
      <c r="G51" s="287">
        <f t="shared" si="1"/>
        <v>66317.29698324023</v>
      </c>
      <c r="H51" s="182"/>
    </row>
    <row r="52" spans="2:8" x14ac:dyDescent="0.25">
      <c r="B52" s="269">
        <v>28</v>
      </c>
      <c r="C52" s="288">
        <v>2910</v>
      </c>
      <c r="D52" s="287">
        <f>141131.21*1.05</f>
        <v>148187.77049999998</v>
      </c>
      <c r="E52" s="287">
        <f>200009.53*0.96</f>
        <v>192009.1488</v>
      </c>
      <c r="F52" s="287">
        <f t="shared" si="2"/>
        <v>50923.632474226797</v>
      </c>
      <c r="G52" s="287">
        <f t="shared" si="1"/>
        <v>65982.525360824744</v>
      </c>
      <c r="H52" s="182"/>
    </row>
    <row r="53" spans="2:8" x14ac:dyDescent="0.25">
      <c r="B53" s="269">
        <v>30.5</v>
      </c>
      <c r="C53" s="288">
        <v>3490</v>
      </c>
      <c r="D53" s="287">
        <f>168387.81*1.05</f>
        <v>176807.20050000001</v>
      </c>
      <c r="E53" s="287">
        <f>238597.43*0.96</f>
        <v>229053.53279999999</v>
      </c>
      <c r="F53" s="287">
        <f t="shared" si="2"/>
        <v>50661.088968481381</v>
      </c>
      <c r="G53" s="287">
        <f t="shared" si="1"/>
        <v>65631.384756446991</v>
      </c>
      <c r="H53" s="182"/>
    </row>
    <row r="54" spans="2:8" x14ac:dyDescent="0.25">
      <c r="B54" s="269">
        <v>32</v>
      </c>
      <c r="C54" s="288">
        <v>3845</v>
      </c>
      <c r="D54" s="287">
        <f>183529.04*1.05</f>
        <v>192705.49200000003</v>
      </c>
      <c r="E54" s="287">
        <f>259977.49*0.96</f>
        <v>249578.39039999997</v>
      </c>
      <c r="F54" s="287">
        <f t="shared" si="2"/>
        <v>50118.463459037717</v>
      </c>
      <c r="G54" s="287">
        <f t="shared" si="1"/>
        <v>64909.854460338094</v>
      </c>
      <c r="H54" s="182"/>
    </row>
    <row r="55" spans="2:8" x14ac:dyDescent="0.25">
      <c r="B55" s="269">
        <v>33.5</v>
      </c>
      <c r="C55" s="288">
        <v>4220</v>
      </c>
      <c r="D55" s="287">
        <f>200290.72*1.05</f>
        <v>210305.25600000002</v>
      </c>
      <c r="E55" s="287">
        <f>283696.06*0.96</f>
        <v>272348.21759999997</v>
      </c>
      <c r="F55" s="287">
        <f t="shared" si="2"/>
        <v>49835.368720379149</v>
      </c>
      <c r="G55" s="287">
        <f t="shared" si="1"/>
        <v>64537.492322274869</v>
      </c>
      <c r="H55" s="182"/>
    </row>
    <row r="56" spans="2:8" x14ac:dyDescent="0.25">
      <c r="B56" s="269">
        <v>37</v>
      </c>
      <c r="C56" s="288">
        <v>5015</v>
      </c>
      <c r="D56" s="287">
        <f>238001.51*1.05</f>
        <v>249901.58550000002</v>
      </c>
      <c r="E56" s="287">
        <f>337127.47*0.96</f>
        <v>323642.37119999994</v>
      </c>
      <c r="F56" s="287">
        <f t="shared" si="2"/>
        <v>49830.824626121641</v>
      </c>
      <c r="G56" s="287">
        <f t="shared" si="1"/>
        <v>64534.869631106674</v>
      </c>
      <c r="H56" s="182"/>
    </row>
    <row r="57" spans="2:8" x14ac:dyDescent="0.25">
      <c r="B57" s="269">
        <v>39.5</v>
      </c>
      <c r="C57" s="288">
        <v>5740</v>
      </c>
      <c r="D57" s="287">
        <f>278382.45*1.05</f>
        <v>292301.57250000001</v>
      </c>
      <c r="E57" s="287">
        <f>394252.39*0.96</f>
        <v>378482.29440000001</v>
      </c>
      <c r="F57" s="287">
        <f t="shared" si="2"/>
        <v>50923.618902439026</v>
      </c>
      <c r="G57" s="287">
        <f t="shared" si="1"/>
        <v>65937.681951219522</v>
      </c>
      <c r="H57" s="182"/>
    </row>
    <row r="58" spans="2:8" x14ac:dyDescent="0.25">
      <c r="B58" s="269">
        <v>42</v>
      </c>
      <c r="C58" s="288">
        <v>6535</v>
      </c>
      <c r="D58" s="287">
        <f>307194.84*1.05</f>
        <v>322554.58200000005</v>
      </c>
      <c r="E58" s="287">
        <f>435191.59*0.96</f>
        <v>417783.9264</v>
      </c>
      <c r="F58" s="287">
        <f t="shared" si="2"/>
        <v>49358.007957153794</v>
      </c>
      <c r="G58" s="287">
        <f t="shared" si="1"/>
        <v>63930.210619739861</v>
      </c>
      <c r="H58" s="182"/>
    </row>
    <row r="59" spans="2:8" ht="13.2" customHeight="1" x14ac:dyDescent="0.25">
      <c r="B59" s="269">
        <v>44.5</v>
      </c>
      <c r="C59" s="288">
        <v>7385</v>
      </c>
      <c r="D59" s="287">
        <f>338629.55*1.05</f>
        <v>355561.02750000003</v>
      </c>
      <c r="E59" s="287">
        <f>479783.54*0.96</f>
        <v>460592.19839999994</v>
      </c>
      <c r="F59" s="287">
        <f t="shared" si="2"/>
        <v>48146.38151658768</v>
      </c>
      <c r="G59" s="287">
        <f t="shared" si="1"/>
        <v>62368.611834800264</v>
      </c>
      <c r="H59" s="182"/>
    </row>
    <row r="60" spans="2:8" ht="13.2" customHeight="1" x14ac:dyDescent="0.25">
      <c r="B60" s="269">
        <v>47.5</v>
      </c>
      <c r="C60" s="288">
        <v>8430</v>
      </c>
      <c r="D60" s="287">
        <f>374273.77*1.05</f>
        <v>392987.45850000001</v>
      </c>
      <c r="E60" s="287">
        <f>530405.66*0.96</f>
        <v>509189.43359999999</v>
      </c>
      <c r="F60" s="287">
        <f t="shared" si="2"/>
        <v>46617.729359430603</v>
      </c>
      <c r="G60" s="287">
        <f t="shared" si="1"/>
        <v>60402.068042704625</v>
      </c>
      <c r="H60" s="182"/>
    </row>
    <row r="61" spans="2:8" ht="13.2" customHeight="1" x14ac:dyDescent="0.25">
      <c r="B61" s="269">
        <v>51</v>
      </c>
      <c r="C61" s="288">
        <v>9545</v>
      </c>
      <c r="D61" s="287">
        <f>420912.37*1.05</f>
        <v>441957.98850000004</v>
      </c>
      <c r="E61" s="287">
        <f>596314.75*0.96</f>
        <v>572462.16</v>
      </c>
      <c r="F61" s="287">
        <f t="shared" si="2"/>
        <v>46302.565584075441</v>
      </c>
      <c r="G61" s="287">
        <f t="shared" si="1"/>
        <v>59975.082242011529</v>
      </c>
      <c r="H61" s="182"/>
    </row>
    <row r="62" spans="2:8" ht="13.2" customHeight="1" x14ac:dyDescent="0.25">
      <c r="B62" s="269">
        <v>56</v>
      </c>
      <c r="C62" s="288">
        <v>11650</v>
      </c>
      <c r="D62" s="287">
        <f>511156.73*1.05</f>
        <v>536714.56649999996</v>
      </c>
      <c r="E62" s="287">
        <f>724010.11*0.96</f>
        <v>695049.70559999999</v>
      </c>
      <c r="F62" s="287">
        <f t="shared" si="2"/>
        <v>46069.91987124463</v>
      </c>
      <c r="G62" s="287">
        <f t="shared" si="1"/>
        <v>59660.918935622321</v>
      </c>
      <c r="H62" s="182"/>
    </row>
    <row r="63" spans="2:8" ht="13.2" customHeight="1" x14ac:dyDescent="0.25">
      <c r="B63" s="19"/>
      <c r="H63" s="182"/>
    </row>
  </sheetData>
  <mergeCells count="15">
    <mergeCell ref="B6:G6"/>
    <mergeCell ref="B11:G11"/>
    <mergeCell ref="B2:E3"/>
    <mergeCell ref="F2:G3"/>
    <mergeCell ref="B4:B5"/>
    <mergeCell ref="C4:C5"/>
    <mergeCell ref="D4:E4"/>
    <mergeCell ref="F4:G4"/>
    <mergeCell ref="B22:E22"/>
    <mergeCell ref="F22:G23"/>
    <mergeCell ref="B23:E23"/>
    <mergeCell ref="B24:B25"/>
    <mergeCell ref="C24:C25"/>
    <mergeCell ref="D24:E24"/>
    <mergeCell ref="F24:G24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H38"/>
  <sheetViews>
    <sheetView view="pageBreakPreview" zoomScale="85" zoomScaleNormal="75" workbookViewId="0"/>
  </sheetViews>
  <sheetFormatPr defaultColWidth="8.88671875" defaultRowHeight="13.2" x14ac:dyDescent="0.25"/>
  <cols>
    <col min="1" max="1" width="8" style="24" customWidth="1"/>
    <col min="2" max="2" width="10.5546875" style="10" customWidth="1"/>
    <col min="3" max="3" width="20.44140625" style="10" customWidth="1"/>
    <col min="4" max="4" width="11.109375" style="10" customWidth="1"/>
    <col min="5" max="6" width="12.6640625" style="10" customWidth="1"/>
    <col min="7" max="7" width="12.33203125" style="10" customWidth="1"/>
    <col min="8" max="8" width="9.5546875" style="10" bestFit="1" customWidth="1"/>
    <col min="9" max="16384" width="8.88671875" style="10"/>
  </cols>
  <sheetData>
    <row r="1" spans="1:8" x14ac:dyDescent="0.25">
      <c r="G1" s="29">
        <v>41091</v>
      </c>
      <c r="H1" s="54" t="s">
        <v>466</v>
      </c>
    </row>
    <row r="2" spans="1:8" x14ac:dyDescent="0.25">
      <c r="B2" s="594" t="s">
        <v>116</v>
      </c>
      <c r="C2" s="595"/>
      <c r="D2" s="595"/>
      <c r="E2" s="595"/>
      <c r="F2" s="596" t="s">
        <v>117</v>
      </c>
      <c r="G2" s="597"/>
    </row>
    <row r="3" spans="1:8" x14ac:dyDescent="0.25">
      <c r="B3" s="600" t="s">
        <v>118</v>
      </c>
      <c r="C3" s="601"/>
      <c r="D3" s="601"/>
      <c r="E3" s="601"/>
      <c r="F3" s="598"/>
      <c r="G3" s="599"/>
    </row>
    <row r="4" spans="1:8" ht="30.6" customHeight="1" x14ac:dyDescent="0.25">
      <c r="B4" s="565" t="s">
        <v>104</v>
      </c>
      <c r="C4" s="565" t="s">
        <v>119</v>
      </c>
      <c r="D4" s="565" t="s">
        <v>501</v>
      </c>
      <c r="E4" s="565"/>
      <c r="F4" s="565" t="s">
        <v>500</v>
      </c>
      <c r="G4" s="565"/>
    </row>
    <row r="5" spans="1:8" ht="22.5" customHeight="1" x14ac:dyDescent="0.25">
      <c r="A5" s="180"/>
      <c r="B5" s="565"/>
      <c r="C5" s="565"/>
      <c r="D5" s="475" t="s">
        <v>120</v>
      </c>
      <c r="E5" s="475" t="s">
        <v>264</v>
      </c>
      <c r="F5" s="475" t="s">
        <v>120</v>
      </c>
      <c r="G5" s="475" t="s">
        <v>264</v>
      </c>
    </row>
    <row r="6" spans="1:8" ht="15" customHeight="1" x14ac:dyDescent="0.25">
      <c r="A6" s="158"/>
      <c r="B6" s="246">
        <v>0.65</v>
      </c>
      <c r="C6" s="269">
        <v>2.4</v>
      </c>
      <c r="D6" s="287">
        <f>1013.91*1.05</f>
        <v>1064.6055000000001</v>
      </c>
      <c r="E6" s="287">
        <f>1313.5*1.05</f>
        <v>1379.175</v>
      </c>
      <c r="F6" s="287">
        <f t="shared" ref="F6:F38" si="0">D6/C6*1000</f>
        <v>443585.62500000006</v>
      </c>
      <c r="G6" s="287">
        <f t="shared" ref="G6:G38" si="1">E6/C6*1000</f>
        <v>574656.25</v>
      </c>
      <c r="H6" s="182"/>
    </row>
    <row r="7" spans="1:8" ht="15" customHeight="1" x14ac:dyDescent="0.25">
      <c r="A7" s="159"/>
      <c r="B7" s="246">
        <v>0.75</v>
      </c>
      <c r="C7" s="269">
        <v>2.8</v>
      </c>
      <c r="D7" s="287">
        <f>1037.69*1.05</f>
        <v>1089.5745000000002</v>
      </c>
      <c r="E7" s="287">
        <f>1344.28*1.05</f>
        <v>1411.4940000000001</v>
      </c>
      <c r="F7" s="287">
        <f t="shared" si="0"/>
        <v>389133.75000000006</v>
      </c>
      <c r="G7" s="287">
        <f t="shared" si="1"/>
        <v>504105.00000000006</v>
      </c>
      <c r="H7" s="182"/>
    </row>
    <row r="8" spans="1:8" ht="15" customHeight="1" x14ac:dyDescent="0.25">
      <c r="A8" s="159"/>
      <c r="B8" s="246">
        <v>0.8</v>
      </c>
      <c r="C8" s="269">
        <v>3.3</v>
      </c>
      <c r="D8" s="287">
        <f>1074.65*1.05</f>
        <v>1128.3825000000002</v>
      </c>
      <c r="E8" s="287">
        <f>1392.18*1.05</f>
        <v>1461.7890000000002</v>
      </c>
      <c r="F8" s="287">
        <f t="shared" si="0"/>
        <v>341934.09090909094</v>
      </c>
      <c r="G8" s="287">
        <f t="shared" si="1"/>
        <v>442966.36363636371</v>
      </c>
      <c r="H8" s="182"/>
    </row>
    <row r="9" spans="1:8" ht="15" customHeight="1" x14ac:dyDescent="0.25">
      <c r="A9" s="159"/>
      <c r="B9" s="246">
        <v>0.85</v>
      </c>
      <c r="C9" s="269">
        <v>3.8</v>
      </c>
      <c r="D9" s="287">
        <f>1119.52*1.05</f>
        <v>1175.4960000000001</v>
      </c>
      <c r="E9" s="287">
        <f>1450.33*1.05</f>
        <v>1522.8464999999999</v>
      </c>
      <c r="F9" s="287">
        <f t="shared" si="0"/>
        <v>309341.05263157899</v>
      </c>
      <c r="G9" s="287">
        <f t="shared" si="1"/>
        <v>400749.07894736837</v>
      </c>
      <c r="H9" s="182"/>
    </row>
    <row r="10" spans="1:8" ht="15" customHeight="1" x14ac:dyDescent="0.25">
      <c r="A10" s="159"/>
      <c r="B10" s="246">
        <v>0.9</v>
      </c>
      <c r="C10" s="269">
        <v>4.3</v>
      </c>
      <c r="D10" s="287">
        <f>1161.77*1.05</f>
        <v>1219.8585</v>
      </c>
      <c r="E10" s="287">
        <f>1505.05*1.05</f>
        <v>1580.3025</v>
      </c>
      <c r="F10" s="287">
        <f t="shared" si="0"/>
        <v>283688.02325581398</v>
      </c>
      <c r="G10" s="287">
        <f t="shared" si="1"/>
        <v>367512.20930232556</v>
      </c>
      <c r="H10" s="182"/>
    </row>
    <row r="11" spans="1:8" ht="15" customHeight="1" x14ac:dyDescent="0.25">
      <c r="A11" s="159"/>
      <c r="B11" s="246">
        <v>1</v>
      </c>
      <c r="C11" s="269">
        <v>5.6</v>
      </c>
      <c r="D11" s="287">
        <f>1242.03*1.05</f>
        <v>1304.1315</v>
      </c>
      <c r="E11" s="287">
        <f>1608.05*1.05</f>
        <v>1688.4525000000001</v>
      </c>
      <c r="F11" s="287">
        <f t="shared" si="0"/>
        <v>232880.625</v>
      </c>
      <c r="G11" s="287">
        <f t="shared" si="1"/>
        <v>301509.37500000006</v>
      </c>
      <c r="H11" s="182"/>
    </row>
    <row r="12" spans="1:8" ht="15" customHeight="1" x14ac:dyDescent="0.25">
      <c r="A12" s="159"/>
      <c r="B12" s="246">
        <v>1.1000000000000001</v>
      </c>
      <c r="C12" s="269">
        <v>6.2</v>
      </c>
      <c r="D12" s="287">
        <f>1255.92*1.05</f>
        <v>1318.7160000000001</v>
      </c>
      <c r="E12" s="287">
        <f>1625.98*1.05</f>
        <v>1707.279</v>
      </c>
      <c r="F12" s="287">
        <f t="shared" si="0"/>
        <v>212696.12903225809</v>
      </c>
      <c r="G12" s="287">
        <f t="shared" si="1"/>
        <v>275367.58064516127</v>
      </c>
      <c r="H12" s="182"/>
    </row>
    <row r="13" spans="1:8" ht="15" customHeight="1" x14ac:dyDescent="0.25">
      <c r="A13" s="159"/>
      <c r="B13" s="246">
        <v>1.2</v>
      </c>
      <c r="C13" s="269">
        <v>7.9</v>
      </c>
      <c r="D13" s="287">
        <f>1330.35*1.05</f>
        <v>1396.8675000000001</v>
      </c>
      <c r="E13" s="287">
        <f>1722.36*1.05</f>
        <v>1808.4780000000001</v>
      </c>
      <c r="F13" s="287">
        <f t="shared" si="0"/>
        <v>176818.67088607594</v>
      </c>
      <c r="G13" s="287">
        <f t="shared" si="1"/>
        <v>228921.26582278483</v>
      </c>
      <c r="H13" s="182"/>
    </row>
    <row r="14" spans="1:8" ht="15" customHeight="1" x14ac:dyDescent="0.25">
      <c r="A14" s="159"/>
      <c r="B14" s="246">
        <v>1.4</v>
      </c>
      <c r="C14" s="269">
        <v>10</v>
      </c>
      <c r="D14" s="287">
        <f>1390.07*1.05</f>
        <v>1459.5735</v>
      </c>
      <c r="E14" s="287">
        <f>1799.71*1.05</f>
        <v>1889.6955</v>
      </c>
      <c r="F14" s="287">
        <f t="shared" si="0"/>
        <v>145957.34999999998</v>
      </c>
      <c r="G14" s="287">
        <f t="shared" si="1"/>
        <v>188969.55</v>
      </c>
      <c r="H14" s="182"/>
    </row>
    <row r="15" spans="1:8" ht="15" customHeight="1" x14ac:dyDescent="0.25">
      <c r="A15" s="159"/>
      <c r="B15" s="246">
        <v>1.6</v>
      </c>
      <c r="C15" s="269">
        <v>12.3</v>
      </c>
      <c r="D15" s="287">
        <f>1551.22*1.05</f>
        <v>1628.7810000000002</v>
      </c>
      <c r="E15" s="287">
        <f>2008.3*1.05</f>
        <v>2108.7150000000001</v>
      </c>
      <c r="F15" s="287">
        <f t="shared" si="0"/>
        <v>132421.21951219512</v>
      </c>
      <c r="G15" s="287">
        <f t="shared" si="1"/>
        <v>171440.24390243902</v>
      </c>
      <c r="H15" s="182"/>
    </row>
    <row r="16" spans="1:8" ht="15" customHeight="1" x14ac:dyDescent="0.25">
      <c r="A16" s="159"/>
      <c r="B16" s="246">
        <v>1.8</v>
      </c>
      <c r="C16" s="269">
        <v>17.600000000000001</v>
      </c>
      <c r="D16" s="287">
        <f>1724.46*1.05</f>
        <v>1810.6830000000002</v>
      </c>
      <c r="E16" s="287">
        <f>2232.59*1.05</f>
        <v>2344.2195000000002</v>
      </c>
      <c r="F16" s="287">
        <f t="shared" si="0"/>
        <v>102879.71590909091</v>
      </c>
      <c r="G16" s="287">
        <f t="shared" si="1"/>
        <v>133194.28977272726</v>
      </c>
      <c r="H16" s="182"/>
    </row>
    <row r="17" spans="1:8" ht="15" customHeight="1" x14ac:dyDescent="0.25">
      <c r="A17" s="159"/>
      <c r="B17" s="246">
        <v>2</v>
      </c>
      <c r="C17" s="269">
        <v>20.7</v>
      </c>
      <c r="D17" s="287">
        <f>1861.93*1.05</f>
        <v>1955.0265000000002</v>
      </c>
      <c r="E17" s="287">
        <f>2411.8*1.05</f>
        <v>2532.3900000000003</v>
      </c>
      <c r="F17" s="287">
        <f t="shared" si="0"/>
        <v>94445.724637681167</v>
      </c>
      <c r="G17" s="287">
        <f t="shared" si="1"/>
        <v>122337.68115942032</v>
      </c>
      <c r="H17" s="182"/>
    </row>
    <row r="18" spans="1:8" ht="15" customHeight="1" x14ac:dyDescent="0.25">
      <c r="A18" s="159"/>
      <c r="B18" s="246">
        <v>2.2000000000000002</v>
      </c>
      <c r="C18" s="269">
        <v>23.9</v>
      </c>
      <c r="D18" s="287">
        <f>2121.23*1.05</f>
        <v>2227.2915000000003</v>
      </c>
      <c r="E18" s="287">
        <f>2746.28*1.05</f>
        <v>2883.5940000000005</v>
      </c>
      <c r="F18" s="287">
        <f t="shared" si="0"/>
        <v>93192.112970711314</v>
      </c>
      <c r="G18" s="287">
        <f t="shared" si="1"/>
        <v>120652.46861924689</v>
      </c>
      <c r="H18" s="182"/>
    </row>
    <row r="19" spans="1:8" ht="15" customHeight="1" x14ac:dyDescent="0.25">
      <c r="A19" s="159"/>
      <c r="B19" s="246">
        <v>2.4</v>
      </c>
      <c r="C19" s="269">
        <v>31.1</v>
      </c>
      <c r="D19" s="287">
        <f>2375.95*1.05</f>
        <v>2494.7474999999999</v>
      </c>
      <c r="E19" s="287">
        <f>3076.09*1.05</f>
        <v>3229.8945000000003</v>
      </c>
      <c r="F19" s="287">
        <f t="shared" si="0"/>
        <v>80216.961414790989</v>
      </c>
      <c r="G19" s="287">
        <f t="shared" si="1"/>
        <v>103855.12861736334</v>
      </c>
      <c r="H19" s="182"/>
    </row>
    <row r="20" spans="1:8" ht="15" customHeight="1" x14ac:dyDescent="0.25">
      <c r="A20" s="159"/>
      <c r="B20" s="246">
        <v>2.8</v>
      </c>
      <c r="C20" s="269">
        <v>39.4</v>
      </c>
      <c r="D20" s="287">
        <f>2478.76*1.05</f>
        <v>2602.6980000000003</v>
      </c>
      <c r="E20" s="287">
        <f>3211.17*1.05</f>
        <v>3371.7285000000002</v>
      </c>
      <c r="F20" s="287">
        <f t="shared" si="0"/>
        <v>66058.324873096455</v>
      </c>
      <c r="G20" s="287">
        <f t="shared" si="1"/>
        <v>85576.865482233508</v>
      </c>
      <c r="H20" s="182"/>
    </row>
    <row r="21" spans="1:8" ht="15" customHeight="1" x14ac:dyDescent="0.25">
      <c r="A21" s="159"/>
      <c r="B21" s="246">
        <v>3.1</v>
      </c>
      <c r="C21" s="269">
        <v>49.2</v>
      </c>
      <c r="D21" s="287">
        <f>3004.92*1.05</f>
        <v>3155.1660000000002</v>
      </c>
      <c r="E21" s="287">
        <f>3892.8*1.05</f>
        <v>4087.4400000000005</v>
      </c>
      <c r="F21" s="287">
        <f t="shared" si="0"/>
        <v>64129.390243902439</v>
      </c>
      <c r="G21" s="287">
        <f t="shared" si="1"/>
        <v>83078.048780487807</v>
      </c>
      <c r="H21" s="182"/>
    </row>
    <row r="22" spans="1:8" ht="15" customHeight="1" x14ac:dyDescent="0.25">
      <c r="A22" s="159"/>
      <c r="B22" s="246">
        <v>3.4</v>
      </c>
      <c r="C22" s="269">
        <v>59.4</v>
      </c>
      <c r="D22" s="287">
        <f>3528.6*1.05</f>
        <v>3705.03</v>
      </c>
      <c r="E22" s="287">
        <f>4571.23*1.05</f>
        <v>4799.7914999999994</v>
      </c>
      <c r="F22" s="287">
        <f t="shared" si="0"/>
        <v>62374.242424242431</v>
      </c>
      <c r="G22" s="287">
        <f t="shared" si="1"/>
        <v>80804.570707070699</v>
      </c>
      <c r="H22" s="182"/>
    </row>
    <row r="23" spans="1:8" ht="15" customHeight="1" x14ac:dyDescent="0.25">
      <c r="A23" s="159"/>
      <c r="B23" s="246">
        <v>3.7</v>
      </c>
      <c r="C23" s="269">
        <v>70.5</v>
      </c>
      <c r="D23" s="287">
        <f>3900.15*1.05</f>
        <v>4095.1575000000003</v>
      </c>
      <c r="E23" s="287">
        <f>5052.59*1.05</f>
        <v>5305.2195000000002</v>
      </c>
      <c r="F23" s="287">
        <f t="shared" si="0"/>
        <v>58087.340425531918</v>
      </c>
      <c r="G23" s="287">
        <f t="shared" si="1"/>
        <v>75251.340425531918</v>
      </c>
      <c r="H23" s="182"/>
    </row>
    <row r="24" spans="1:8" ht="15" customHeight="1" x14ac:dyDescent="0.25">
      <c r="A24" s="159"/>
      <c r="B24" s="246">
        <v>4</v>
      </c>
      <c r="C24" s="269">
        <v>82.5</v>
      </c>
      <c r="D24" s="287">
        <f>4508.64*1.05</f>
        <v>4734.0720000000001</v>
      </c>
      <c r="E24" s="287">
        <f>5840.85*1.05</f>
        <v>6132.8925000000008</v>
      </c>
      <c r="F24" s="287">
        <f t="shared" si="0"/>
        <v>57382.69090909091</v>
      </c>
      <c r="G24" s="287">
        <f t="shared" si="1"/>
        <v>74338.090909090926</v>
      </c>
      <c r="H24" s="182"/>
    </row>
    <row r="25" spans="1:8" ht="15" customHeight="1" x14ac:dyDescent="0.25">
      <c r="A25" s="159"/>
      <c r="B25" s="246">
        <v>4.3</v>
      </c>
      <c r="C25" s="269">
        <v>95.6</v>
      </c>
      <c r="D25" s="287">
        <f>5097.15*1.05</f>
        <v>5352.0074999999997</v>
      </c>
      <c r="E25" s="287">
        <f>6603.25*1.05</f>
        <v>6933.4125000000004</v>
      </c>
      <c r="F25" s="287">
        <f t="shared" si="0"/>
        <v>55983.342050209205</v>
      </c>
      <c r="G25" s="287">
        <f t="shared" si="1"/>
        <v>72525.235355648547</v>
      </c>
      <c r="H25" s="182"/>
    </row>
    <row r="26" spans="1:8" ht="15" customHeight="1" x14ac:dyDescent="0.25">
      <c r="A26" s="159"/>
      <c r="B26" s="246">
        <v>4.5999999999999996</v>
      </c>
      <c r="C26" s="269">
        <v>109.6</v>
      </c>
      <c r="D26" s="287">
        <f>5618.34*1.05</f>
        <v>5899.2570000000005</v>
      </c>
      <c r="E26" s="287">
        <f>7278.42*1.05</f>
        <v>7642.3410000000003</v>
      </c>
      <c r="F26" s="287">
        <f t="shared" si="0"/>
        <v>53825.337591240881</v>
      </c>
      <c r="G26" s="287">
        <f t="shared" si="1"/>
        <v>69729.388686131395</v>
      </c>
      <c r="H26" s="182"/>
    </row>
    <row r="27" spans="1:8" ht="15" customHeight="1" x14ac:dyDescent="0.25">
      <c r="A27" s="159"/>
      <c r="B27" s="246">
        <v>4.9000000000000004</v>
      </c>
      <c r="C27" s="269">
        <v>124.6</v>
      </c>
      <c r="D27" s="287">
        <f>6383.91*1.05</f>
        <v>6703.1055000000006</v>
      </c>
      <c r="E27" s="287">
        <f>8270.22*1.05</f>
        <v>8683.7309999999998</v>
      </c>
      <c r="F27" s="287">
        <f t="shared" si="0"/>
        <v>53796.994382022473</v>
      </c>
      <c r="G27" s="287">
        <f t="shared" si="1"/>
        <v>69692.865168539327</v>
      </c>
      <c r="H27" s="182"/>
    </row>
    <row r="28" spans="1:8" ht="15" customHeight="1" x14ac:dyDescent="0.25">
      <c r="A28" s="159"/>
      <c r="B28" s="246">
        <v>5.2</v>
      </c>
      <c r="C28" s="269">
        <v>140.5</v>
      </c>
      <c r="D28" s="287">
        <f>7186.88*1.05</f>
        <v>7546.2240000000002</v>
      </c>
      <c r="E28" s="287">
        <f>9310.48*1.05</f>
        <v>9776.0040000000008</v>
      </c>
      <c r="F28" s="287">
        <f t="shared" si="0"/>
        <v>53709.779359430606</v>
      </c>
      <c r="G28" s="287">
        <f t="shared" si="1"/>
        <v>69580.099644128131</v>
      </c>
      <c r="H28" s="182"/>
    </row>
    <row r="29" spans="1:8" ht="15" customHeight="1" x14ac:dyDescent="0.25">
      <c r="A29" s="159"/>
      <c r="B29" s="246">
        <v>5.5</v>
      </c>
      <c r="C29" s="269">
        <v>157.5</v>
      </c>
      <c r="D29" s="287">
        <f>8012.32*1.05</f>
        <v>8412.9359999999997</v>
      </c>
      <c r="E29" s="287">
        <f>10379.76*1.05</f>
        <v>10898.748000000001</v>
      </c>
      <c r="F29" s="287">
        <f t="shared" si="0"/>
        <v>53415.466666666667</v>
      </c>
      <c r="G29" s="287">
        <f t="shared" si="1"/>
        <v>69198.400000000009</v>
      </c>
      <c r="H29" s="182"/>
    </row>
    <row r="30" spans="1:8" ht="15" customHeight="1" x14ac:dyDescent="0.25">
      <c r="A30" s="159"/>
      <c r="B30" s="246">
        <v>6.2</v>
      </c>
      <c r="C30" s="269">
        <v>197</v>
      </c>
      <c r="D30" s="287">
        <f>9954.3*1.05</f>
        <v>10452.014999999999</v>
      </c>
      <c r="E30" s="287">
        <f>12894.92*1.05</f>
        <v>13539.666000000001</v>
      </c>
      <c r="F30" s="287">
        <f t="shared" si="0"/>
        <v>53055.913705583756</v>
      </c>
      <c r="G30" s="287">
        <f t="shared" si="1"/>
        <v>68729.269035532998</v>
      </c>
      <c r="H30" s="182"/>
    </row>
    <row r="31" spans="1:8" ht="15" customHeight="1" x14ac:dyDescent="0.25">
      <c r="A31" s="159"/>
      <c r="B31" s="246">
        <v>6.8</v>
      </c>
      <c r="C31" s="269">
        <v>238</v>
      </c>
      <c r="D31" s="287">
        <f>11989.78*1.05</f>
        <v>12589.269000000002</v>
      </c>
      <c r="E31" s="287">
        <f>15532.5*1.05</f>
        <v>16309.125</v>
      </c>
      <c r="F31" s="287">
        <f t="shared" si="0"/>
        <v>52896.088235294126</v>
      </c>
      <c r="G31" s="287">
        <f t="shared" si="1"/>
        <v>68525.73529411765</v>
      </c>
      <c r="H31" s="182"/>
    </row>
    <row r="32" spans="1:8" ht="15" customHeight="1" x14ac:dyDescent="0.25">
      <c r="A32" s="159"/>
      <c r="B32" s="246">
        <v>7.4</v>
      </c>
      <c r="C32" s="269">
        <v>282.60000000000002</v>
      </c>
      <c r="D32" s="287">
        <f>14111.93*1.05</f>
        <v>14817.526500000002</v>
      </c>
      <c r="E32" s="287">
        <f>18281.72*1.05</f>
        <v>19195.806</v>
      </c>
      <c r="F32" s="287">
        <f t="shared" si="0"/>
        <v>52432.860934182594</v>
      </c>
      <c r="G32" s="287">
        <f t="shared" si="1"/>
        <v>67925.711252653928</v>
      </c>
      <c r="H32" s="182"/>
    </row>
    <row r="33" spans="1:8" ht="15" customHeight="1" x14ac:dyDescent="0.25">
      <c r="A33" s="159"/>
      <c r="B33" s="246">
        <v>8</v>
      </c>
      <c r="C33" s="269">
        <v>330.5</v>
      </c>
      <c r="D33" s="287">
        <f>16431.08*1.05</f>
        <v>17252.634000000002</v>
      </c>
      <c r="E33" s="287">
        <f>21286.12*1.05</f>
        <v>22350.425999999999</v>
      </c>
      <c r="F33" s="287">
        <f t="shared" si="0"/>
        <v>52201.615733736769</v>
      </c>
      <c r="G33" s="287">
        <f t="shared" si="1"/>
        <v>67626.09984871406</v>
      </c>
      <c r="H33" s="182"/>
    </row>
    <row r="34" spans="1:8" ht="15" customHeight="1" x14ac:dyDescent="0.25">
      <c r="A34" s="159"/>
      <c r="B34" s="246">
        <v>8.6</v>
      </c>
      <c r="C34" s="269">
        <v>382.1</v>
      </c>
      <c r="D34" s="287">
        <f>18850*1.05</f>
        <v>19792.5</v>
      </c>
      <c r="E34" s="287">
        <f>24419.75*1.05</f>
        <v>25640.737499999999</v>
      </c>
      <c r="F34" s="287">
        <f t="shared" si="0"/>
        <v>51799.26720753729</v>
      </c>
      <c r="G34" s="287">
        <f t="shared" si="1"/>
        <v>67104.782779377114</v>
      </c>
      <c r="H34" s="182"/>
    </row>
    <row r="35" spans="1:8" ht="15" customHeight="1" x14ac:dyDescent="0.25">
      <c r="A35" s="159"/>
      <c r="B35" s="246">
        <v>9.1999999999999993</v>
      </c>
      <c r="C35" s="269">
        <v>438.5</v>
      </c>
      <c r="D35" s="287">
        <f>21560.65*1.05</f>
        <v>22638.682500000003</v>
      </c>
      <c r="E35" s="287">
        <f>27940.18*1.05</f>
        <v>29337.189000000002</v>
      </c>
      <c r="F35" s="287">
        <f t="shared" si="0"/>
        <v>51627.554161915628</v>
      </c>
      <c r="G35" s="287">
        <f t="shared" si="1"/>
        <v>66903.509692132269</v>
      </c>
      <c r="H35" s="182"/>
    </row>
    <row r="36" spans="1:8" ht="15" customHeight="1" x14ac:dyDescent="0.25">
      <c r="A36" s="159"/>
      <c r="B36" s="246">
        <v>9.8000000000000007</v>
      </c>
      <c r="C36" s="269">
        <v>498.5</v>
      </c>
      <c r="D36" s="287">
        <f>24206.47*1.05</f>
        <v>25416.793500000003</v>
      </c>
      <c r="E36" s="287">
        <f>31358.98*1.05</f>
        <v>32926.929000000004</v>
      </c>
      <c r="F36" s="287">
        <f t="shared" si="0"/>
        <v>50986.546639919768</v>
      </c>
      <c r="G36" s="287">
        <f t="shared" si="1"/>
        <v>66052.014042126393</v>
      </c>
      <c r="H36" s="182"/>
    </row>
    <row r="37" spans="1:8" ht="15" customHeight="1" x14ac:dyDescent="0.25">
      <c r="A37" s="159"/>
      <c r="B37" s="246">
        <v>10.5</v>
      </c>
      <c r="C37" s="269">
        <v>562</v>
      </c>
      <c r="D37" s="287">
        <f>27211.41*1.05</f>
        <v>28571.980500000001</v>
      </c>
      <c r="E37" s="287">
        <f>35251.79*1.05</f>
        <v>37014.379500000003</v>
      </c>
      <c r="F37" s="287">
        <f t="shared" si="0"/>
        <v>50839.822953736657</v>
      </c>
      <c r="G37" s="287">
        <f t="shared" si="1"/>
        <v>65861.88523131673</v>
      </c>
      <c r="H37" s="182"/>
    </row>
    <row r="38" spans="1:8" ht="15" customHeight="1" x14ac:dyDescent="0.25">
      <c r="A38" s="159"/>
      <c r="B38" s="246">
        <v>11.5</v>
      </c>
      <c r="C38" s="269">
        <v>700.5</v>
      </c>
      <c r="D38" s="287">
        <f>33877.11*1.05</f>
        <v>35570.965500000006</v>
      </c>
      <c r="E38" s="287">
        <f>43887.06*1.05</f>
        <v>46081.413</v>
      </c>
      <c r="F38" s="287">
        <f t="shared" si="0"/>
        <v>50779.394004282665</v>
      </c>
      <c r="G38" s="287">
        <f t="shared" si="1"/>
        <v>65783.601713062104</v>
      </c>
      <c r="H38" s="186"/>
    </row>
  </sheetData>
  <mergeCells count="7">
    <mergeCell ref="B2:E2"/>
    <mergeCell ref="F2:G3"/>
    <mergeCell ref="B3:E3"/>
    <mergeCell ref="B4:B5"/>
    <mergeCell ref="C4:C5"/>
    <mergeCell ref="D4:E4"/>
    <mergeCell ref="F4:G4"/>
  </mergeCells>
  <phoneticPr fontId="0" type="noConversion"/>
  <hyperlinks>
    <hyperlink ref="H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L76"/>
  <sheetViews>
    <sheetView view="pageBreakPreview" topLeftCell="A31" zoomScale="85" zoomScaleNormal="75" workbookViewId="0">
      <selection activeCell="B46" sqref="B46:G46"/>
    </sheetView>
  </sheetViews>
  <sheetFormatPr defaultColWidth="8.88671875" defaultRowHeight="13.2" x14ac:dyDescent="0.25"/>
  <cols>
    <col min="1" max="1" width="8.6640625" style="24" customWidth="1"/>
    <col min="2" max="2" width="9" style="10" customWidth="1"/>
    <col min="3" max="3" width="12.109375" style="10" customWidth="1"/>
    <col min="4" max="7" width="11.6640625" style="10" customWidth="1"/>
    <col min="8" max="8" width="11.6640625" style="6" customWidth="1"/>
    <col min="9" max="11" width="11.6640625" style="10" customWidth="1"/>
    <col min="12" max="16384" width="8.88671875" style="10"/>
  </cols>
  <sheetData>
    <row r="1" spans="1:12" x14ac:dyDescent="0.25">
      <c r="F1" s="6"/>
      <c r="G1" s="29"/>
      <c r="K1" s="29">
        <v>41091</v>
      </c>
      <c r="L1" s="54" t="s">
        <v>466</v>
      </c>
    </row>
    <row r="2" spans="1:12" x14ac:dyDescent="0.25">
      <c r="B2" s="594" t="s">
        <v>125</v>
      </c>
      <c r="C2" s="595"/>
      <c r="D2" s="595"/>
      <c r="E2" s="595"/>
      <c r="F2" s="393"/>
      <c r="G2" s="393"/>
      <c r="H2" s="393"/>
      <c r="I2" s="393"/>
      <c r="J2" s="609" t="s">
        <v>122</v>
      </c>
      <c r="K2" s="610"/>
    </row>
    <row r="3" spans="1:12" x14ac:dyDescent="0.25">
      <c r="B3" s="600" t="s">
        <v>123</v>
      </c>
      <c r="C3" s="601"/>
      <c r="D3" s="601"/>
      <c r="E3" s="601"/>
      <c r="F3" s="394"/>
      <c r="G3" s="394"/>
      <c r="H3" s="396"/>
      <c r="J3" s="568"/>
      <c r="K3" s="611"/>
    </row>
    <row r="4" spans="1:12" x14ac:dyDescent="0.25">
      <c r="B4" s="485"/>
      <c r="C4" s="486"/>
      <c r="D4" s="613" t="s">
        <v>723</v>
      </c>
      <c r="E4" s="614"/>
      <c r="F4" s="614"/>
      <c r="G4" s="614"/>
      <c r="H4" s="607" t="s">
        <v>796</v>
      </c>
      <c r="I4" s="607"/>
      <c r="J4" s="607"/>
      <c r="K4" s="608"/>
    </row>
    <row r="5" spans="1:12" ht="27.6" customHeight="1" x14ac:dyDescent="0.25">
      <c r="B5" s="565" t="s">
        <v>104</v>
      </c>
      <c r="C5" s="604" t="s">
        <v>803</v>
      </c>
      <c r="D5" s="565" t="s">
        <v>501</v>
      </c>
      <c r="E5" s="565"/>
      <c r="F5" s="612" t="s">
        <v>500</v>
      </c>
      <c r="G5" s="605"/>
      <c r="H5" s="605" t="s">
        <v>501</v>
      </c>
      <c r="I5" s="606"/>
      <c r="J5" s="565" t="s">
        <v>500</v>
      </c>
      <c r="K5" s="565"/>
    </row>
    <row r="6" spans="1:12" x14ac:dyDescent="0.25">
      <c r="A6" s="124"/>
      <c r="B6" s="565"/>
      <c r="C6" s="604"/>
      <c r="D6" s="475" t="s">
        <v>120</v>
      </c>
      <c r="E6" s="475" t="s">
        <v>264</v>
      </c>
      <c r="F6" s="475" t="s">
        <v>120</v>
      </c>
      <c r="G6" s="397" t="s">
        <v>264</v>
      </c>
      <c r="H6" s="398" t="s">
        <v>120</v>
      </c>
      <c r="I6" s="475" t="s">
        <v>264</v>
      </c>
      <c r="J6" s="475" t="s">
        <v>120</v>
      </c>
      <c r="K6" s="475" t="s">
        <v>264</v>
      </c>
    </row>
    <row r="7" spans="1:12" x14ac:dyDescent="0.25">
      <c r="A7" s="124"/>
      <c r="B7" s="472">
        <v>1</v>
      </c>
      <c r="C7" s="290">
        <v>5.2</v>
      </c>
      <c r="D7" s="431">
        <f>1893.15*1.05</f>
        <v>1987.8075000000001</v>
      </c>
      <c r="E7" s="431">
        <f>2452.77*1.05</f>
        <v>2575.4085</v>
      </c>
      <c r="F7" s="287">
        <f>D7/$C7*1000</f>
        <v>382270.67307692306</v>
      </c>
      <c r="G7" s="399">
        <f>E7/$C7*1000</f>
        <v>495270.86538461538</v>
      </c>
      <c r="H7" s="460">
        <f>1893.15*1.05</f>
        <v>1987.8075000000001</v>
      </c>
      <c r="I7" s="431">
        <f>2452.77*1.05</f>
        <v>2575.4085</v>
      </c>
      <c r="J7" s="287">
        <f>H7/$C7*1000</f>
        <v>382270.67307692306</v>
      </c>
      <c r="K7" s="287">
        <f>I7/$C7*1000</f>
        <v>495270.86538461538</v>
      </c>
    </row>
    <row r="8" spans="1:12" x14ac:dyDescent="0.25">
      <c r="A8" s="159"/>
      <c r="B8" s="472">
        <v>1.1000000000000001</v>
      </c>
      <c r="C8" s="290">
        <v>6.3</v>
      </c>
      <c r="D8" s="431">
        <f>2081.04*1.05</f>
        <v>2185.0920000000001</v>
      </c>
      <c r="E8" s="431">
        <f>2696.19*1.05</f>
        <v>2830.9995000000004</v>
      </c>
      <c r="F8" s="287">
        <f t="shared" ref="F8:F39" si="0">D8/$C8*1000</f>
        <v>346840.00000000006</v>
      </c>
      <c r="G8" s="399">
        <f t="shared" ref="G8:G39" si="1">E8/$C8*1000</f>
        <v>449365.00000000006</v>
      </c>
      <c r="H8" s="460">
        <f>2081.04*1.05</f>
        <v>2185.0920000000001</v>
      </c>
      <c r="I8" s="431">
        <f>2696.19*1.05</f>
        <v>2830.9995000000004</v>
      </c>
      <c r="J8" s="287">
        <f t="shared" ref="J8:J39" si="2">H8/$C8*1000</f>
        <v>346840.00000000006</v>
      </c>
      <c r="K8" s="287">
        <f t="shared" ref="K8:K39" si="3">I8/$C8*1000</f>
        <v>449365.00000000006</v>
      </c>
    </row>
    <row r="9" spans="1:12" x14ac:dyDescent="0.25">
      <c r="A9" s="159"/>
      <c r="B9" s="472">
        <v>1.2</v>
      </c>
      <c r="C9" s="290">
        <v>7.5</v>
      </c>
      <c r="D9" s="431">
        <f>2153.3*1.05</f>
        <v>2260.9650000000001</v>
      </c>
      <c r="E9" s="431">
        <f>2789.81*1.05</f>
        <v>2929.3005000000003</v>
      </c>
      <c r="F9" s="287">
        <f t="shared" si="0"/>
        <v>301462.00000000006</v>
      </c>
      <c r="G9" s="399">
        <f t="shared" si="1"/>
        <v>390573.4</v>
      </c>
      <c r="H9" s="460">
        <f>2153.3*1.05</f>
        <v>2260.9650000000001</v>
      </c>
      <c r="I9" s="431">
        <f>2789.81*1.05</f>
        <v>2929.3005000000003</v>
      </c>
      <c r="J9" s="287">
        <f t="shared" si="2"/>
        <v>301462.00000000006</v>
      </c>
      <c r="K9" s="287">
        <f t="shared" si="3"/>
        <v>390573.4</v>
      </c>
    </row>
    <row r="10" spans="1:12" x14ac:dyDescent="0.25">
      <c r="A10" s="159"/>
      <c r="B10" s="472">
        <v>1.3</v>
      </c>
      <c r="C10" s="290">
        <v>8.8000000000000007</v>
      </c>
      <c r="D10" s="431">
        <f>2240*1.05</f>
        <v>2352</v>
      </c>
      <c r="E10" s="431">
        <f>2902.16*1.05</f>
        <v>3047.268</v>
      </c>
      <c r="F10" s="287">
        <f t="shared" si="0"/>
        <v>267272.72727272724</v>
      </c>
      <c r="G10" s="399">
        <f t="shared" si="1"/>
        <v>346280.45454545453</v>
      </c>
      <c r="H10" s="460">
        <f>2240*1.05</f>
        <v>2352</v>
      </c>
      <c r="I10" s="431">
        <f>2902.16*1.05</f>
        <v>3047.268</v>
      </c>
      <c r="J10" s="287">
        <f t="shared" si="2"/>
        <v>267272.72727272724</v>
      </c>
      <c r="K10" s="287">
        <f t="shared" si="3"/>
        <v>346280.45454545453</v>
      </c>
    </row>
    <row r="11" spans="1:12" x14ac:dyDescent="0.25">
      <c r="A11" s="159"/>
      <c r="B11" s="472">
        <v>1.4</v>
      </c>
      <c r="C11" s="290">
        <v>10.1</v>
      </c>
      <c r="D11" s="431">
        <f>2297.8*1.05</f>
        <v>2412.6900000000005</v>
      </c>
      <c r="E11" s="431">
        <f>2977.04*1.05</f>
        <v>3125.8920000000003</v>
      </c>
      <c r="F11" s="287">
        <f t="shared" si="0"/>
        <v>238880.19801980205</v>
      </c>
      <c r="G11" s="399">
        <f t="shared" si="1"/>
        <v>309494.25742574263</v>
      </c>
      <c r="H11" s="460">
        <f>2297.8*1.05</f>
        <v>2412.6900000000005</v>
      </c>
      <c r="I11" s="431">
        <f>2977.04*1.05</f>
        <v>3125.8920000000003</v>
      </c>
      <c r="J11" s="287">
        <f t="shared" si="2"/>
        <v>238880.19801980205</v>
      </c>
      <c r="K11" s="287">
        <f t="shared" si="3"/>
        <v>309494.25742574263</v>
      </c>
    </row>
    <row r="12" spans="1:12" x14ac:dyDescent="0.25">
      <c r="A12" s="159"/>
      <c r="B12" s="269">
        <v>1.5</v>
      </c>
      <c r="C12" s="269">
        <v>11.6</v>
      </c>
      <c r="D12" s="431">
        <f>2585.12*1.05</f>
        <v>2714.3760000000002</v>
      </c>
      <c r="E12" s="431">
        <f>3349.27*1.05</f>
        <v>3516.7335000000003</v>
      </c>
      <c r="F12" s="287">
        <f t="shared" si="0"/>
        <v>233997.93103448278</v>
      </c>
      <c r="G12" s="399">
        <f t="shared" si="1"/>
        <v>303166.68103448278</v>
      </c>
      <c r="H12" s="460">
        <f>2585.12*1.05</f>
        <v>2714.3760000000002</v>
      </c>
      <c r="I12" s="431">
        <f>3349.27*1.05</f>
        <v>3516.7335000000003</v>
      </c>
      <c r="J12" s="287">
        <f t="shared" si="2"/>
        <v>233997.93103448278</v>
      </c>
      <c r="K12" s="287">
        <f t="shared" si="3"/>
        <v>303166.68103448278</v>
      </c>
    </row>
    <row r="13" spans="1:12" x14ac:dyDescent="0.25">
      <c r="A13" s="159"/>
      <c r="B13" s="269">
        <v>1.7</v>
      </c>
      <c r="C13" s="269">
        <v>14.9</v>
      </c>
      <c r="D13" s="431">
        <v>0</v>
      </c>
      <c r="E13" s="431">
        <v>0</v>
      </c>
      <c r="F13" s="287">
        <v>0</v>
      </c>
      <c r="G13" s="399">
        <v>0</v>
      </c>
      <c r="H13" s="460">
        <v>0</v>
      </c>
      <c r="I13" s="431">
        <f>3512*1.05</f>
        <v>3687.6000000000004</v>
      </c>
      <c r="J13" s="287">
        <f t="shared" ref="J13" si="4">H13/$C13*1000</f>
        <v>0</v>
      </c>
      <c r="K13" s="287">
        <f t="shared" ref="K13" si="5">I13/$C13*1000</f>
        <v>247489.93288590605</v>
      </c>
    </row>
    <row r="14" spans="1:12" x14ac:dyDescent="0.25">
      <c r="A14" s="159"/>
      <c r="B14" s="269">
        <v>1.8</v>
      </c>
      <c r="C14" s="269">
        <v>16.600000000000001</v>
      </c>
      <c r="D14" s="431">
        <f>3034.36*1.05</f>
        <v>3186.0780000000004</v>
      </c>
      <c r="E14" s="431">
        <f>3931.35*1.05</f>
        <v>4127.9175000000005</v>
      </c>
      <c r="F14" s="287">
        <f t="shared" si="0"/>
        <v>191932.40963855421</v>
      </c>
      <c r="G14" s="399">
        <f t="shared" si="1"/>
        <v>248669.72891566265</v>
      </c>
      <c r="H14" s="460">
        <f>2758.51*1.05</f>
        <v>2896.4355000000005</v>
      </c>
      <c r="I14" s="431">
        <f>3573.95*1.05</f>
        <v>3752.6475</v>
      </c>
      <c r="J14" s="287">
        <f t="shared" si="2"/>
        <v>174484.06626506025</v>
      </c>
      <c r="K14" s="287">
        <f t="shared" si="3"/>
        <v>226063.10240963852</v>
      </c>
    </row>
    <row r="15" spans="1:12" x14ac:dyDescent="0.25">
      <c r="A15" s="159"/>
      <c r="B15" s="269">
        <v>2</v>
      </c>
      <c r="C15" s="269">
        <v>20.8</v>
      </c>
      <c r="D15" s="431">
        <f>3199.06*1.05</f>
        <v>3359.0129999999999</v>
      </c>
      <c r="E15" s="431">
        <f>4144.68*1.05</f>
        <v>4351.9140000000007</v>
      </c>
      <c r="F15" s="287">
        <f t="shared" si="0"/>
        <v>161491.0096153846</v>
      </c>
      <c r="G15" s="399">
        <f t="shared" si="1"/>
        <v>209226.63461538465</v>
      </c>
      <c r="H15" s="460">
        <f>2908.23*1.05</f>
        <v>3053.6415000000002</v>
      </c>
      <c r="I15" s="431">
        <f>3767.88*1.05</f>
        <v>3956.2740000000003</v>
      </c>
      <c r="J15" s="287">
        <f t="shared" si="2"/>
        <v>146809.6875</v>
      </c>
      <c r="K15" s="287">
        <f t="shared" si="3"/>
        <v>190205.48076923078</v>
      </c>
    </row>
    <row r="16" spans="1:12" x14ac:dyDescent="0.25">
      <c r="A16" s="159"/>
      <c r="B16" s="269">
        <v>2.6</v>
      </c>
      <c r="C16" s="269">
        <v>32.299999999999997</v>
      </c>
      <c r="D16" s="431">
        <f>3808.54*1.05</f>
        <v>3998.9670000000001</v>
      </c>
      <c r="E16" s="431">
        <f>4934.39*1.05</f>
        <v>5181.1095000000005</v>
      </c>
      <c r="F16" s="287">
        <f t="shared" si="0"/>
        <v>123807.02786377711</v>
      </c>
      <c r="G16" s="399">
        <f t="shared" si="1"/>
        <v>160405.86687306504</v>
      </c>
      <c r="H16" s="460">
        <f>3462.31*1.05</f>
        <v>3635.4255000000003</v>
      </c>
      <c r="I16" s="431">
        <f>4485.81*1.05</f>
        <v>4710.1005000000005</v>
      </c>
      <c r="J16" s="287">
        <f t="shared" si="2"/>
        <v>112551.8730650155</v>
      </c>
      <c r="K16" s="287">
        <f t="shared" si="3"/>
        <v>145823.54489164089</v>
      </c>
    </row>
    <row r="17" spans="1:11" x14ac:dyDescent="0.25">
      <c r="A17" s="159"/>
      <c r="B17" s="269">
        <v>3</v>
      </c>
      <c r="C17" s="269">
        <v>46.5</v>
      </c>
      <c r="D17" s="431">
        <f>4179.6*1.05</f>
        <v>4388.5800000000008</v>
      </c>
      <c r="E17" s="431">
        <f>5414.83*1.05</f>
        <v>5685.5715</v>
      </c>
      <c r="F17" s="287">
        <f t="shared" si="0"/>
        <v>94378.064516129045</v>
      </c>
      <c r="G17" s="399">
        <f t="shared" si="1"/>
        <v>122270.35483870968</v>
      </c>
      <c r="H17" s="460">
        <f>3799.64*1.05</f>
        <v>3989.6219999999998</v>
      </c>
      <c r="I17" s="431">
        <f>4922.57*1.05</f>
        <v>5168.6984999999995</v>
      </c>
      <c r="J17" s="287">
        <f t="shared" si="2"/>
        <v>85798.322580645166</v>
      </c>
      <c r="K17" s="287">
        <f t="shared" si="3"/>
        <v>111154.80645161289</v>
      </c>
    </row>
    <row r="18" spans="1:11" x14ac:dyDescent="0.25">
      <c r="A18" s="159"/>
      <c r="B18" s="269">
        <v>3.3</v>
      </c>
      <c r="C18" s="269">
        <v>54.6</v>
      </c>
      <c r="D18" s="431">
        <f>4418.57*1.05</f>
        <v>4639.4984999999997</v>
      </c>
      <c r="E18" s="431">
        <f>5724.68*1.05</f>
        <v>6010.9140000000007</v>
      </c>
      <c r="F18" s="287">
        <f t="shared" si="0"/>
        <v>84972.5</v>
      </c>
      <c r="G18" s="399">
        <f t="shared" si="1"/>
        <v>110090</v>
      </c>
      <c r="H18" s="460">
        <f>4418.57*1.05</f>
        <v>4639.4984999999997</v>
      </c>
      <c r="I18" s="431">
        <f>5724.68*1.05</f>
        <v>6010.9140000000007</v>
      </c>
      <c r="J18" s="287">
        <f t="shared" si="2"/>
        <v>84972.5</v>
      </c>
      <c r="K18" s="287">
        <f t="shared" si="3"/>
        <v>110090</v>
      </c>
    </row>
    <row r="19" spans="1:11" x14ac:dyDescent="0.25">
      <c r="A19" s="159"/>
      <c r="B19" s="269">
        <v>3.6</v>
      </c>
      <c r="C19" s="269">
        <v>63.2</v>
      </c>
      <c r="D19" s="431">
        <f>4964.07*1.05</f>
        <v>5212.2735000000002</v>
      </c>
      <c r="E19" s="431">
        <f>6431.47*1.05</f>
        <v>6753.0435000000007</v>
      </c>
      <c r="F19" s="287">
        <f t="shared" si="0"/>
        <v>82472.681962025323</v>
      </c>
      <c r="G19" s="399">
        <f t="shared" si="1"/>
        <v>106851.95411392405</v>
      </c>
      <c r="H19" s="460">
        <f>4964.07*1.05</f>
        <v>5212.2735000000002</v>
      </c>
      <c r="I19" s="431">
        <f>6431.47*1.05</f>
        <v>6753.0435000000007</v>
      </c>
      <c r="J19" s="287">
        <f t="shared" si="2"/>
        <v>82472.681962025323</v>
      </c>
      <c r="K19" s="287">
        <f t="shared" si="3"/>
        <v>106851.95411392405</v>
      </c>
    </row>
    <row r="20" spans="1:11" x14ac:dyDescent="0.25">
      <c r="A20" s="159"/>
      <c r="B20" s="269">
        <v>4</v>
      </c>
      <c r="C20" s="269">
        <v>82.5</v>
      </c>
      <c r="D20" s="431">
        <f>5819.96*1.05</f>
        <v>6110.9580000000005</v>
      </c>
      <c r="E20" s="431">
        <f>7540.33*1.05</f>
        <v>7917.3465000000006</v>
      </c>
      <c r="F20" s="287">
        <f t="shared" si="0"/>
        <v>74072.218181818185</v>
      </c>
      <c r="G20" s="399">
        <f t="shared" si="1"/>
        <v>95967.836363636365</v>
      </c>
      <c r="H20" s="460">
        <f>5819.96*1.05</f>
        <v>6110.9580000000005</v>
      </c>
      <c r="I20" s="431">
        <f>7540.33*1.05</f>
        <v>7917.3465000000006</v>
      </c>
      <c r="J20" s="287">
        <f t="shared" si="2"/>
        <v>74072.218181818185</v>
      </c>
      <c r="K20" s="287">
        <f t="shared" si="3"/>
        <v>95967.836363636365</v>
      </c>
    </row>
    <row r="21" spans="1:11" x14ac:dyDescent="0.25">
      <c r="A21" s="159"/>
      <c r="B21" s="269">
        <v>4.5999999999999996</v>
      </c>
      <c r="C21" s="269">
        <v>104.5</v>
      </c>
      <c r="D21" s="431">
        <f>7280.85*1.05</f>
        <v>7644.8925000000008</v>
      </c>
      <c r="E21" s="431">
        <f>9432.6*1.05</f>
        <v>9904.2300000000014</v>
      </c>
      <c r="F21" s="287">
        <f t="shared" si="0"/>
        <v>73156.866028708144</v>
      </c>
      <c r="G21" s="399">
        <f t="shared" si="1"/>
        <v>94777.320574162688</v>
      </c>
      <c r="H21" s="460">
        <f>7280.85*1.05</f>
        <v>7644.8925000000008</v>
      </c>
      <c r="I21" s="431">
        <f>9432.6*1.05</f>
        <v>9904.2300000000014</v>
      </c>
      <c r="J21" s="287">
        <f t="shared" si="2"/>
        <v>73156.866028708144</v>
      </c>
      <c r="K21" s="287">
        <f t="shared" si="3"/>
        <v>94777.320574162688</v>
      </c>
    </row>
    <row r="22" spans="1:11" x14ac:dyDescent="0.25">
      <c r="A22" s="159"/>
      <c r="B22" s="269">
        <v>5</v>
      </c>
      <c r="C22" s="269">
        <v>129.80000000000001</v>
      </c>
      <c r="D22" s="431">
        <f>8986.62*1.05</f>
        <v>9435.9510000000009</v>
      </c>
      <c r="E22" s="431">
        <f>11643.47*1.05</f>
        <v>12225.6435</v>
      </c>
      <c r="F22" s="287">
        <f t="shared" si="0"/>
        <v>72696.078582434508</v>
      </c>
      <c r="G22" s="399">
        <f t="shared" si="1"/>
        <v>94188.31664098613</v>
      </c>
      <c r="H22" s="460">
        <f>8986.62*1.05</f>
        <v>9435.9510000000009</v>
      </c>
      <c r="I22" s="431">
        <f>11643.47*1.05</f>
        <v>12225.6435</v>
      </c>
      <c r="J22" s="287">
        <f t="shared" si="2"/>
        <v>72696.078582434508</v>
      </c>
      <c r="K22" s="287">
        <f t="shared" si="3"/>
        <v>94188.31664098613</v>
      </c>
    </row>
    <row r="23" spans="1:11" x14ac:dyDescent="0.25">
      <c r="A23" s="159"/>
      <c r="B23" s="269">
        <v>5.6</v>
      </c>
      <c r="C23" s="269">
        <v>156.9</v>
      </c>
      <c r="D23" s="431">
        <f>10163.26*1.05</f>
        <v>10671.423000000001</v>
      </c>
      <c r="E23" s="431">
        <f>13167.57*1.05</f>
        <v>13825.9485</v>
      </c>
      <c r="F23" s="287">
        <f t="shared" si="0"/>
        <v>68014.168260038248</v>
      </c>
      <c r="G23" s="399">
        <f t="shared" si="1"/>
        <v>88119.493307839395</v>
      </c>
      <c r="H23" s="460">
        <f>10163.26*1.05</f>
        <v>10671.423000000001</v>
      </c>
      <c r="I23" s="431">
        <f>13167.57*1.05</f>
        <v>13825.9485</v>
      </c>
      <c r="J23" s="287">
        <f t="shared" si="2"/>
        <v>68014.168260038248</v>
      </c>
      <c r="K23" s="287">
        <f t="shared" si="3"/>
        <v>88119.493307839395</v>
      </c>
    </row>
    <row r="24" spans="1:11" x14ac:dyDescent="0.25">
      <c r="A24" s="159"/>
      <c r="B24" s="269">
        <v>6.1</v>
      </c>
      <c r="C24" s="269">
        <v>186</v>
      </c>
      <c r="D24" s="431">
        <f>11221.27*1.05</f>
        <v>11782.333500000001</v>
      </c>
      <c r="E24" s="431">
        <f>14538.32*1.05</f>
        <v>15265.236000000001</v>
      </c>
      <c r="F24" s="287">
        <f t="shared" si="0"/>
        <v>63345.879032258068</v>
      </c>
      <c r="G24" s="399">
        <f t="shared" si="1"/>
        <v>82071.161290322576</v>
      </c>
      <c r="H24" s="460">
        <f>11221.27*1.05</f>
        <v>11782.333500000001</v>
      </c>
      <c r="I24" s="431">
        <f>14538.32*1.05</f>
        <v>15265.236000000001</v>
      </c>
      <c r="J24" s="287">
        <f t="shared" si="2"/>
        <v>63345.879032258068</v>
      </c>
      <c r="K24" s="287">
        <f t="shared" si="3"/>
        <v>82071.161290322576</v>
      </c>
    </row>
    <row r="25" spans="1:11" x14ac:dyDescent="0.25">
      <c r="A25" s="159"/>
      <c r="B25" s="269">
        <v>6.6</v>
      </c>
      <c r="C25" s="269">
        <v>218.5</v>
      </c>
      <c r="D25" s="431">
        <f>12266.7*1.05</f>
        <v>12880.035000000002</v>
      </c>
      <c r="E25" s="431">
        <f>15892.73*1.05</f>
        <v>16687.3665</v>
      </c>
      <c r="F25" s="287">
        <f t="shared" si="0"/>
        <v>58947.528604118997</v>
      </c>
      <c r="G25" s="399">
        <f t="shared" si="1"/>
        <v>76372.38672768879</v>
      </c>
      <c r="H25" s="460">
        <f>12266.7*1.05</f>
        <v>12880.035000000002</v>
      </c>
      <c r="I25" s="431">
        <f>15892.73*1.05</f>
        <v>16687.3665</v>
      </c>
      <c r="J25" s="287">
        <f t="shared" si="2"/>
        <v>58947.528604118997</v>
      </c>
      <c r="K25" s="287">
        <f t="shared" si="3"/>
        <v>76372.38672768879</v>
      </c>
    </row>
    <row r="26" spans="1:11" x14ac:dyDescent="0.25">
      <c r="A26" s="159"/>
      <c r="B26" s="269">
        <v>7.1</v>
      </c>
      <c r="C26" s="269">
        <v>253</v>
      </c>
      <c r="D26" s="431">
        <f>14084.56*1.05</f>
        <v>14788.788</v>
      </c>
      <c r="E26" s="431">
        <f>18248.02*1.05</f>
        <v>19160.421000000002</v>
      </c>
      <c r="F26" s="287">
        <f t="shared" si="0"/>
        <v>58453.707509881424</v>
      </c>
      <c r="G26" s="399">
        <f t="shared" si="1"/>
        <v>75732.889328063247</v>
      </c>
      <c r="H26" s="460">
        <f>14084.56*1.05</f>
        <v>14788.788</v>
      </c>
      <c r="I26" s="431">
        <f>18248.02*1.05</f>
        <v>19160.421000000002</v>
      </c>
      <c r="J26" s="287">
        <f t="shared" si="2"/>
        <v>58453.707509881424</v>
      </c>
      <c r="K26" s="287">
        <f t="shared" si="3"/>
        <v>75732.889328063247</v>
      </c>
    </row>
    <row r="27" spans="1:11" x14ac:dyDescent="0.25">
      <c r="A27" s="159"/>
      <c r="B27" s="269">
        <v>7.6</v>
      </c>
      <c r="C27" s="269">
        <v>290.5</v>
      </c>
      <c r="D27" s="431">
        <f>15816.74*1.05</f>
        <v>16607.577000000001</v>
      </c>
      <c r="E27" s="431">
        <f>20492.19*1.05</f>
        <v>21516.799500000001</v>
      </c>
      <c r="F27" s="287">
        <f t="shared" si="0"/>
        <v>57168.939759036148</v>
      </c>
      <c r="G27" s="399">
        <f t="shared" si="1"/>
        <v>74068.156626506025</v>
      </c>
      <c r="H27" s="460">
        <f>15816.74*1.05</f>
        <v>16607.577000000001</v>
      </c>
      <c r="I27" s="431">
        <f>20492.19*1.05</f>
        <v>21516.799500000001</v>
      </c>
      <c r="J27" s="287">
        <f t="shared" si="2"/>
        <v>57168.939759036148</v>
      </c>
      <c r="K27" s="287">
        <f t="shared" si="3"/>
        <v>74068.156626506025</v>
      </c>
    </row>
    <row r="28" spans="1:11" x14ac:dyDescent="0.25">
      <c r="A28" s="159"/>
      <c r="B28" s="269">
        <v>8.1</v>
      </c>
      <c r="C28" s="269">
        <v>330</v>
      </c>
      <c r="D28" s="431">
        <f>17600.45*1.05</f>
        <v>18480.4725</v>
      </c>
      <c r="E28" s="431">
        <f>22803.15*1.05</f>
        <v>23943.307500000003</v>
      </c>
      <c r="F28" s="287">
        <f t="shared" si="0"/>
        <v>56001.431818181823</v>
      </c>
      <c r="G28" s="399">
        <f t="shared" si="1"/>
        <v>72555.477272727294</v>
      </c>
      <c r="H28" s="460">
        <f>17600.45*1.05</f>
        <v>18480.4725</v>
      </c>
      <c r="I28" s="431">
        <f>22803.15*1.05</f>
        <v>23943.307500000003</v>
      </c>
      <c r="J28" s="287">
        <f t="shared" si="2"/>
        <v>56001.431818181823</v>
      </c>
      <c r="K28" s="287">
        <f t="shared" si="3"/>
        <v>72555.477272727294</v>
      </c>
    </row>
    <row r="29" spans="1:11" x14ac:dyDescent="0.25">
      <c r="A29" s="159"/>
      <c r="B29" s="269">
        <v>8.6</v>
      </c>
      <c r="C29" s="269">
        <v>372.6</v>
      </c>
      <c r="D29" s="431">
        <f>19586.71*1.05</f>
        <v>20566.0455</v>
      </c>
      <c r="E29" s="431">
        <f>25376.59*1.05</f>
        <v>26645.4195</v>
      </c>
      <c r="F29" s="287">
        <f t="shared" si="0"/>
        <v>55196.042673107891</v>
      </c>
      <c r="G29" s="399">
        <f t="shared" si="1"/>
        <v>71512.12962962962</v>
      </c>
      <c r="H29" s="460">
        <f>19586.71*1.05</f>
        <v>20566.0455</v>
      </c>
      <c r="I29" s="431">
        <f>25376.59*1.05</f>
        <v>26645.4195</v>
      </c>
      <c r="J29" s="287">
        <f t="shared" si="2"/>
        <v>55196.042673107891</v>
      </c>
      <c r="K29" s="287">
        <f t="shared" si="3"/>
        <v>71512.12962962962</v>
      </c>
    </row>
    <row r="30" spans="1:11" x14ac:dyDescent="0.25">
      <c r="A30" s="159"/>
      <c r="B30" s="269">
        <v>9.1</v>
      </c>
      <c r="C30" s="269">
        <v>417.5</v>
      </c>
      <c r="D30" s="431">
        <f>20988.93*1.05</f>
        <v>22038.376500000002</v>
      </c>
      <c r="E30" s="431">
        <f>27177.78*1.05</f>
        <v>28536.669000000002</v>
      </c>
      <c r="F30" s="287">
        <f t="shared" si="0"/>
        <v>52786.530538922154</v>
      </c>
      <c r="G30" s="399">
        <f t="shared" si="1"/>
        <v>68351.302994011974</v>
      </c>
      <c r="H30" s="460">
        <f>20988.93*1.05</f>
        <v>22038.376500000002</v>
      </c>
      <c r="I30" s="431">
        <f>27177.78*1.05</f>
        <v>28536.669000000002</v>
      </c>
      <c r="J30" s="287">
        <f t="shared" si="2"/>
        <v>52786.530538922154</v>
      </c>
      <c r="K30" s="287">
        <f t="shared" si="3"/>
        <v>68351.302994011974</v>
      </c>
    </row>
    <row r="31" spans="1:11" x14ac:dyDescent="0.25">
      <c r="A31" s="159"/>
      <c r="B31" s="269">
        <v>10</v>
      </c>
      <c r="C31" s="269">
        <v>519</v>
      </c>
      <c r="D31" s="431">
        <f>27255.07*1.05</f>
        <v>28617.823500000002</v>
      </c>
      <c r="E31" s="431">
        <f>35291.56*1.05</f>
        <v>37056.137999999999</v>
      </c>
      <c r="F31" s="287">
        <f t="shared" si="0"/>
        <v>55140.315028901736</v>
      </c>
      <c r="G31" s="399">
        <f t="shared" si="1"/>
        <v>71399.1098265896</v>
      </c>
      <c r="H31" s="460">
        <f>27255.07*1.05</f>
        <v>28617.823500000002</v>
      </c>
      <c r="I31" s="431">
        <f>35291.56*1.05</f>
        <v>37056.137999999999</v>
      </c>
      <c r="J31" s="287">
        <f t="shared" si="2"/>
        <v>55140.315028901736</v>
      </c>
      <c r="K31" s="287">
        <f t="shared" si="3"/>
        <v>71399.1098265896</v>
      </c>
    </row>
    <row r="32" spans="1:11" x14ac:dyDescent="0.25">
      <c r="A32" s="159"/>
      <c r="B32" s="269">
        <v>11</v>
      </c>
      <c r="C32" s="269">
        <v>627.4</v>
      </c>
      <c r="D32" s="431">
        <f>31407.85*1.05</f>
        <v>32978.2425</v>
      </c>
      <c r="E32" s="431">
        <f>40668.85*1.05</f>
        <v>42702.292500000003</v>
      </c>
      <c r="F32" s="287">
        <f t="shared" si="0"/>
        <v>52563.344756136437</v>
      </c>
      <c r="G32" s="399">
        <f t="shared" si="1"/>
        <v>68062.308734459672</v>
      </c>
      <c r="H32" s="460">
        <f>31407.85*1.05</f>
        <v>32978.2425</v>
      </c>
      <c r="I32" s="431">
        <f>40668.85*1.05</f>
        <v>42702.292500000003</v>
      </c>
      <c r="J32" s="287">
        <f t="shared" si="2"/>
        <v>52563.344756136437</v>
      </c>
      <c r="K32" s="287">
        <f t="shared" si="3"/>
        <v>68062.308734459672</v>
      </c>
    </row>
    <row r="33" spans="1:11" x14ac:dyDescent="0.25">
      <c r="A33" s="159"/>
      <c r="B33" s="269">
        <v>12</v>
      </c>
      <c r="C33" s="269">
        <v>746</v>
      </c>
      <c r="D33" s="431">
        <f>39795.61*1.05</f>
        <v>41785.390500000001</v>
      </c>
      <c r="E33" s="431">
        <f>51529.84*1.05</f>
        <v>54106.332000000002</v>
      </c>
      <c r="F33" s="287">
        <f t="shared" si="0"/>
        <v>56012.587801608584</v>
      </c>
      <c r="G33" s="399">
        <f t="shared" si="1"/>
        <v>72528.595174262737</v>
      </c>
      <c r="H33" s="460">
        <f>39795.61*1.05</f>
        <v>41785.390500000001</v>
      </c>
      <c r="I33" s="431">
        <f>51529.84*1.05</f>
        <v>54106.332000000002</v>
      </c>
      <c r="J33" s="287">
        <f t="shared" si="2"/>
        <v>56012.587801608584</v>
      </c>
      <c r="K33" s="287">
        <f t="shared" si="3"/>
        <v>72528.595174262737</v>
      </c>
    </row>
    <row r="34" spans="1:11" x14ac:dyDescent="0.25">
      <c r="A34" s="159"/>
      <c r="B34" s="269">
        <v>13</v>
      </c>
      <c r="C34" s="269">
        <v>873</v>
      </c>
      <c r="D34" s="431">
        <f>43576.89*1.05</f>
        <v>45755.734499999999</v>
      </c>
      <c r="E34" s="431">
        <f>56426.08*1.05</f>
        <v>59247.384000000005</v>
      </c>
      <c r="F34" s="287">
        <f t="shared" si="0"/>
        <v>52412.067010309278</v>
      </c>
      <c r="G34" s="399">
        <f t="shared" si="1"/>
        <v>67866.419243986253</v>
      </c>
      <c r="H34" s="460">
        <f>43576.89*1.05</f>
        <v>45755.734499999999</v>
      </c>
      <c r="I34" s="431">
        <f>56426.08*1.05</f>
        <v>59247.384000000005</v>
      </c>
      <c r="J34" s="287">
        <f t="shared" si="2"/>
        <v>52412.067010309278</v>
      </c>
      <c r="K34" s="287">
        <f t="shared" si="3"/>
        <v>67866.419243986253</v>
      </c>
    </row>
    <row r="35" spans="1:11" x14ac:dyDescent="0.25">
      <c r="A35" s="159"/>
      <c r="B35" s="269">
        <v>14</v>
      </c>
      <c r="C35" s="269">
        <v>1050</v>
      </c>
      <c r="D35" s="431">
        <f>52031.86*1.05</f>
        <v>54633.453000000001</v>
      </c>
      <c r="E35" s="431">
        <f>67374.08*1.05</f>
        <v>70742.784</v>
      </c>
      <c r="F35" s="287">
        <f t="shared" si="0"/>
        <v>52031.86</v>
      </c>
      <c r="G35" s="399">
        <f t="shared" si="1"/>
        <v>67374.080000000002</v>
      </c>
      <c r="H35" s="460">
        <f>52031.86*1.05</f>
        <v>54633.453000000001</v>
      </c>
      <c r="I35" s="431">
        <f>67374.08*1.05</f>
        <v>70742.784</v>
      </c>
      <c r="J35" s="287">
        <f t="shared" si="2"/>
        <v>52031.86</v>
      </c>
      <c r="K35" s="287">
        <f t="shared" si="3"/>
        <v>67374.080000000002</v>
      </c>
    </row>
    <row r="36" spans="1:11" x14ac:dyDescent="0.25">
      <c r="A36" s="124"/>
      <c r="B36" s="269">
        <v>15</v>
      </c>
      <c r="C36" s="269">
        <v>1160</v>
      </c>
      <c r="D36" s="431">
        <f>57366.61*1.05</f>
        <v>60234.940500000004</v>
      </c>
      <c r="E36" s="431">
        <f>74281.86*1.05</f>
        <v>77995.953000000009</v>
      </c>
      <c r="F36" s="287">
        <f t="shared" si="0"/>
        <v>51926.67284482759</v>
      </c>
      <c r="G36" s="399">
        <f t="shared" si="1"/>
        <v>67237.89051724138</v>
      </c>
      <c r="H36" s="460">
        <f>57366.61*1.05</f>
        <v>60234.940500000004</v>
      </c>
      <c r="I36" s="431">
        <f>74281.86*1.05</f>
        <v>77995.953000000009</v>
      </c>
      <c r="J36" s="287">
        <f t="shared" si="2"/>
        <v>51926.67284482759</v>
      </c>
      <c r="K36" s="287">
        <f t="shared" si="3"/>
        <v>67237.89051724138</v>
      </c>
    </row>
    <row r="37" spans="1:11" x14ac:dyDescent="0.25">
      <c r="A37" s="159"/>
      <c r="B37" s="290">
        <v>16</v>
      </c>
      <c r="C37" s="269">
        <v>1320</v>
      </c>
      <c r="D37" s="431">
        <f>64049.83*1.05</f>
        <v>67252.321500000005</v>
      </c>
      <c r="E37" s="431">
        <f>82966.94*1.05</f>
        <v>87115.287000000011</v>
      </c>
      <c r="F37" s="287">
        <f t="shared" si="0"/>
        <v>50948.728409090909</v>
      </c>
      <c r="G37" s="399">
        <f t="shared" si="1"/>
        <v>65996.429545454565</v>
      </c>
      <c r="H37" s="460">
        <f>64049.83*1.05</f>
        <v>67252.321500000005</v>
      </c>
      <c r="I37" s="431">
        <f>82966.94*1.05</f>
        <v>87115.287000000011</v>
      </c>
      <c r="J37" s="287">
        <f t="shared" si="2"/>
        <v>50948.728409090909</v>
      </c>
      <c r="K37" s="287">
        <f t="shared" si="3"/>
        <v>65996.429545454565</v>
      </c>
    </row>
    <row r="38" spans="1:11" x14ac:dyDescent="0.25">
      <c r="A38" s="159"/>
      <c r="B38" s="290">
        <v>17</v>
      </c>
      <c r="C38" s="269">
        <v>1490</v>
      </c>
      <c r="D38" s="431">
        <f>71192.87*1.05</f>
        <v>74752.513500000001</v>
      </c>
      <c r="E38" s="431">
        <f>92184.97*1.05</f>
        <v>96794.218500000003</v>
      </c>
      <c r="F38" s="287">
        <f t="shared" si="0"/>
        <v>50169.472147651009</v>
      </c>
      <c r="G38" s="399">
        <f t="shared" si="1"/>
        <v>64962.562751677848</v>
      </c>
      <c r="H38" s="460">
        <f>71192.87*1.05</f>
        <v>74752.513500000001</v>
      </c>
      <c r="I38" s="431">
        <f>92184.97*1.05</f>
        <v>96794.218500000003</v>
      </c>
      <c r="J38" s="287">
        <f t="shared" si="2"/>
        <v>50169.472147651009</v>
      </c>
      <c r="K38" s="287">
        <f t="shared" si="3"/>
        <v>64962.562751677848</v>
      </c>
    </row>
    <row r="39" spans="1:11" x14ac:dyDescent="0.25">
      <c r="A39" s="159"/>
      <c r="B39" s="269">
        <v>19</v>
      </c>
      <c r="C39" s="269">
        <v>1855</v>
      </c>
      <c r="D39" s="431">
        <f>82372.65*1.05</f>
        <v>86491.282500000001</v>
      </c>
      <c r="E39" s="431">
        <f>106661.24*1.05</f>
        <v>111994.30200000001</v>
      </c>
      <c r="F39" s="287">
        <f t="shared" si="0"/>
        <v>46626.028301886792</v>
      </c>
      <c r="G39" s="399">
        <f t="shared" si="1"/>
        <v>60374.286792452833</v>
      </c>
      <c r="H39" s="460">
        <f>82372.65*1.05</f>
        <v>86491.282500000001</v>
      </c>
      <c r="I39" s="431">
        <f>106661.24*1.05</f>
        <v>111994.30200000001</v>
      </c>
      <c r="J39" s="287">
        <f t="shared" si="2"/>
        <v>46626.028301886792</v>
      </c>
      <c r="K39" s="287">
        <f t="shared" si="3"/>
        <v>60374.286792452833</v>
      </c>
    </row>
    <row r="40" spans="1:11" x14ac:dyDescent="0.25">
      <c r="A40" s="159"/>
      <c r="B40" s="20"/>
      <c r="C40" s="20"/>
      <c r="D40" s="21"/>
      <c r="E40" s="21"/>
      <c r="F40" s="21"/>
      <c r="G40" s="21"/>
      <c r="H40" s="24"/>
    </row>
    <row r="41" spans="1:11" x14ac:dyDescent="0.25">
      <c r="A41" s="159"/>
      <c r="F41" s="6"/>
      <c r="G41" s="29">
        <v>41091</v>
      </c>
      <c r="H41" s="10"/>
    </row>
    <row r="42" spans="1:11" x14ac:dyDescent="0.25">
      <c r="A42" s="159"/>
      <c r="B42" s="594" t="s">
        <v>125</v>
      </c>
      <c r="C42" s="595"/>
      <c r="D42" s="595"/>
      <c r="E42" s="602"/>
      <c r="F42" s="568" t="s">
        <v>124</v>
      </c>
      <c r="G42" s="568"/>
      <c r="H42" s="24"/>
    </row>
    <row r="43" spans="1:11" x14ac:dyDescent="0.25">
      <c r="A43" s="159"/>
      <c r="B43" s="600" t="s">
        <v>126</v>
      </c>
      <c r="C43" s="601"/>
      <c r="D43" s="601"/>
      <c r="E43" s="603"/>
      <c r="F43" s="568"/>
      <c r="G43" s="568"/>
      <c r="H43" s="24"/>
    </row>
    <row r="44" spans="1:11" ht="13.2" customHeight="1" x14ac:dyDescent="0.25">
      <c r="A44" s="159"/>
      <c r="B44" s="565" t="s">
        <v>104</v>
      </c>
      <c r="C44" s="604" t="s">
        <v>803</v>
      </c>
      <c r="D44" s="565" t="s">
        <v>501</v>
      </c>
      <c r="E44" s="565"/>
      <c r="F44" s="565" t="s">
        <v>500</v>
      </c>
      <c r="G44" s="565"/>
      <c r="H44" s="24"/>
    </row>
    <row r="45" spans="1:11" ht="25.2" customHeight="1" x14ac:dyDescent="0.25">
      <c r="A45" s="124"/>
      <c r="B45" s="565"/>
      <c r="C45" s="604"/>
      <c r="D45" s="475" t="s">
        <v>120</v>
      </c>
      <c r="E45" s="475" t="s">
        <v>264</v>
      </c>
      <c r="F45" s="475" t="s">
        <v>120</v>
      </c>
      <c r="G45" s="475" t="s">
        <v>264</v>
      </c>
      <c r="H45" s="24"/>
    </row>
    <row r="46" spans="1:11" x14ac:dyDescent="0.25">
      <c r="A46" s="124"/>
      <c r="B46" s="472">
        <v>1.8</v>
      </c>
      <c r="C46" s="290">
        <v>16.8</v>
      </c>
      <c r="D46" s="431">
        <f>4118.09*1.05</f>
        <v>4323.9945000000007</v>
      </c>
      <c r="E46" s="431">
        <f>5335.62*1.05</f>
        <v>5602.4009999999998</v>
      </c>
      <c r="F46" s="287">
        <f t="shared" ref="F46:F75" si="6">D46/C46*1000</f>
        <v>257380.625</v>
      </c>
      <c r="G46" s="287">
        <f t="shared" ref="G46:G75" si="7">E46/C46*1000</f>
        <v>333476.25</v>
      </c>
      <c r="H46" s="182"/>
    </row>
    <row r="47" spans="1:11" x14ac:dyDescent="0.25">
      <c r="A47" s="159"/>
      <c r="B47" s="472">
        <v>2</v>
      </c>
      <c r="C47" s="290">
        <v>19.5</v>
      </c>
      <c r="D47" s="431">
        <f>4209.96*1.05</f>
        <v>4420.4580000000005</v>
      </c>
      <c r="E47" s="431">
        <f>5454.61*1.05</f>
        <v>5727.3405000000002</v>
      </c>
      <c r="F47" s="287">
        <f t="shared" si="6"/>
        <v>226690.15384615387</v>
      </c>
      <c r="G47" s="287">
        <f t="shared" si="7"/>
        <v>293709.76923076925</v>
      </c>
      <c r="H47" s="182"/>
    </row>
    <row r="48" spans="1:11" x14ac:dyDescent="0.25">
      <c r="A48" s="159"/>
      <c r="B48" s="472">
        <v>2.1</v>
      </c>
      <c r="C48" s="290">
        <v>22.3</v>
      </c>
      <c r="D48" s="431">
        <f>4262.71*1.05</f>
        <v>4475.8455000000004</v>
      </c>
      <c r="E48" s="431">
        <f>5522.96*1.05</f>
        <v>5799.1080000000002</v>
      </c>
      <c r="F48" s="287">
        <f t="shared" si="6"/>
        <v>200710.56053811661</v>
      </c>
      <c r="G48" s="287">
        <f t="shared" si="7"/>
        <v>260049.68609865473</v>
      </c>
      <c r="H48" s="182"/>
    </row>
    <row r="49" spans="1:8" x14ac:dyDescent="0.25">
      <c r="A49" s="159"/>
      <c r="B49" s="472">
        <v>2.4</v>
      </c>
      <c r="C49" s="290">
        <v>28.7</v>
      </c>
      <c r="D49" s="431">
        <f>4450.77*1.05</f>
        <v>4673.308500000001</v>
      </c>
      <c r="E49" s="431">
        <f>5766.63*1.05</f>
        <v>6054.9615000000003</v>
      </c>
      <c r="F49" s="287">
        <f t="shared" si="6"/>
        <v>162833.04878048785</v>
      </c>
      <c r="G49" s="287">
        <f t="shared" si="7"/>
        <v>210974.26829268294</v>
      </c>
      <c r="H49" s="182"/>
    </row>
    <row r="50" spans="1:8" x14ac:dyDescent="0.25">
      <c r="A50" s="159"/>
      <c r="B50" s="472">
        <v>2.7</v>
      </c>
      <c r="C50" s="290">
        <v>35.9</v>
      </c>
      <c r="D50" s="431">
        <f>4785.71*1.05</f>
        <v>5024.9955</v>
      </c>
      <c r="E50" s="431">
        <f>6200.59*1.05</f>
        <v>6510.6195000000007</v>
      </c>
      <c r="F50" s="287">
        <f t="shared" si="6"/>
        <v>139972.01949860723</v>
      </c>
      <c r="G50" s="287">
        <f t="shared" si="7"/>
        <v>181354.30362116994</v>
      </c>
      <c r="H50" s="182"/>
    </row>
    <row r="51" spans="1:8" x14ac:dyDescent="0.25">
      <c r="A51" s="159"/>
      <c r="B51" s="269">
        <v>2.8</v>
      </c>
      <c r="C51" s="269">
        <v>39.9</v>
      </c>
      <c r="D51" s="431">
        <f>5120.65*1.05</f>
        <v>5376.6824999999999</v>
      </c>
      <c r="E51" s="431">
        <f>6634.56*1.05</f>
        <v>6966.2880000000005</v>
      </c>
      <c r="F51" s="287">
        <f t="shared" si="6"/>
        <v>134753.94736842104</v>
      </c>
      <c r="G51" s="287">
        <f t="shared" si="7"/>
        <v>174593.68421052632</v>
      </c>
      <c r="H51" s="182"/>
    </row>
    <row r="52" spans="1:8" x14ac:dyDescent="0.25">
      <c r="A52" s="159"/>
      <c r="B52" s="269">
        <v>3.6</v>
      </c>
      <c r="C52" s="269">
        <v>62.4</v>
      </c>
      <c r="D52" s="431">
        <f>6253.06*1.05</f>
        <v>6565.7130000000006</v>
      </c>
      <c r="E52" s="431">
        <f>8101.8*1.05</f>
        <v>8506.8900000000012</v>
      </c>
      <c r="F52" s="287">
        <f t="shared" si="6"/>
        <v>105219.75961538464</v>
      </c>
      <c r="G52" s="287">
        <f t="shared" si="7"/>
        <v>136328.3653846154</v>
      </c>
      <c r="H52" s="182"/>
    </row>
    <row r="53" spans="1:8" x14ac:dyDescent="0.25">
      <c r="A53" s="159"/>
      <c r="B53" s="269">
        <v>4.2</v>
      </c>
      <c r="C53" s="269">
        <v>89.6</v>
      </c>
      <c r="D53" s="431">
        <f>7397.18*1.05</f>
        <v>7767.0390000000007</v>
      </c>
      <c r="E53" s="431">
        <f>9584.11*1.05</f>
        <v>10063.315500000001</v>
      </c>
      <c r="F53" s="287">
        <f t="shared" si="6"/>
        <v>86685.703125000015</v>
      </c>
      <c r="G53" s="287">
        <f t="shared" si="7"/>
        <v>112313.78906250001</v>
      </c>
      <c r="H53" s="182"/>
    </row>
    <row r="54" spans="1:8" x14ac:dyDescent="0.25">
      <c r="A54" s="159"/>
      <c r="B54" s="269">
        <v>4.5999999999999996</v>
      </c>
      <c r="C54" s="269">
        <v>105.5</v>
      </c>
      <c r="D54" s="431">
        <f>8194.53*1.05</f>
        <v>8604.2565000000013</v>
      </c>
      <c r="E54" s="431">
        <f>10617.21*1.05</f>
        <v>11148.0705</v>
      </c>
      <c r="F54" s="287">
        <f t="shared" si="6"/>
        <v>81556.933649289102</v>
      </c>
      <c r="G54" s="287">
        <f t="shared" si="7"/>
        <v>105668.91469194312</v>
      </c>
      <c r="H54" s="182"/>
    </row>
    <row r="55" spans="1:8" x14ac:dyDescent="0.25">
      <c r="A55" s="159"/>
      <c r="B55" s="269">
        <v>5</v>
      </c>
      <c r="C55" s="269">
        <v>122</v>
      </c>
      <c r="D55" s="431">
        <f>9005.37*1.05</f>
        <v>9455.6385000000009</v>
      </c>
      <c r="E55" s="431">
        <f>11667.75*1.05</f>
        <v>12251.137500000001</v>
      </c>
      <c r="F55" s="287">
        <f t="shared" si="6"/>
        <v>77505.233606557376</v>
      </c>
      <c r="G55" s="287">
        <f t="shared" si="7"/>
        <v>100419.15983606558</v>
      </c>
      <c r="H55" s="182"/>
    </row>
    <row r="56" spans="1:8" x14ac:dyDescent="0.25">
      <c r="A56" s="159"/>
      <c r="B56" s="269">
        <v>5.6</v>
      </c>
      <c r="C56" s="269">
        <v>159.5</v>
      </c>
      <c r="D56" s="431">
        <f>9893.85*1.05</f>
        <v>10388.542500000001</v>
      </c>
      <c r="E56" s="431">
        <f>12818.94*1.05</f>
        <v>13459.887000000001</v>
      </c>
      <c r="F56" s="287">
        <f t="shared" si="6"/>
        <v>65131.927899686532</v>
      </c>
      <c r="G56" s="287">
        <f t="shared" si="7"/>
        <v>84388.006269592486</v>
      </c>
      <c r="H56" s="182"/>
    </row>
    <row r="57" spans="1:8" x14ac:dyDescent="0.25">
      <c r="A57" s="159"/>
      <c r="B57" s="269">
        <v>6.4</v>
      </c>
      <c r="C57" s="269">
        <v>201.5</v>
      </c>
      <c r="D57" s="431">
        <f>12445.1*1.05</f>
        <v>13067.355000000001</v>
      </c>
      <c r="E57" s="431">
        <f>16124.46*1.05</f>
        <v>16930.683000000001</v>
      </c>
      <c r="F57" s="287">
        <f t="shared" si="6"/>
        <v>64850.397022332516</v>
      </c>
      <c r="G57" s="287">
        <f t="shared" si="7"/>
        <v>84023.240694789085</v>
      </c>
      <c r="H57" s="182"/>
    </row>
    <row r="58" spans="1:8" x14ac:dyDescent="0.25">
      <c r="A58" s="159"/>
      <c r="B58" s="269">
        <v>7</v>
      </c>
      <c r="C58" s="269">
        <v>248.4</v>
      </c>
      <c r="D58" s="431">
        <f>15007.36*1.05</f>
        <v>15757.728000000001</v>
      </c>
      <c r="E58" s="431">
        <f>19444.23*1.05</f>
        <v>20416.441500000001</v>
      </c>
      <c r="F58" s="287">
        <f t="shared" si="6"/>
        <v>63436.908212560389</v>
      </c>
      <c r="G58" s="287">
        <f t="shared" si="7"/>
        <v>82191.793478260879</v>
      </c>
      <c r="H58" s="182"/>
    </row>
    <row r="59" spans="1:8" x14ac:dyDescent="0.25">
      <c r="A59" s="159"/>
      <c r="B59" s="269">
        <v>7.8</v>
      </c>
      <c r="C59" s="269">
        <v>300.39999999999998</v>
      </c>
      <c r="D59" s="431">
        <f>18136.68*1.05</f>
        <v>19043.514000000003</v>
      </c>
      <c r="E59" s="431">
        <f>23498.31*1.05</f>
        <v>24673.225500000004</v>
      </c>
      <c r="F59" s="287">
        <f t="shared" si="6"/>
        <v>63393.854860186431</v>
      </c>
      <c r="G59" s="287">
        <f t="shared" si="7"/>
        <v>82134.572237017317</v>
      </c>
      <c r="H59" s="182"/>
    </row>
    <row r="60" spans="1:8" x14ac:dyDescent="0.25">
      <c r="A60" s="159"/>
      <c r="B60" s="269">
        <v>8.5</v>
      </c>
      <c r="C60" s="269">
        <v>359</v>
      </c>
      <c r="D60" s="431">
        <f>21529.41*1.05</f>
        <v>22605.880499999999</v>
      </c>
      <c r="E60" s="431">
        <f>27894.51*1.05</f>
        <v>29289.235499999999</v>
      </c>
      <c r="F60" s="287">
        <f t="shared" si="6"/>
        <v>62969.026462395537</v>
      </c>
      <c r="G60" s="287">
        <f t="shared" si="7"/>
        <v>81585.614206128128</v>
      </c>
      <c r="H60" s="182"/>
    </row>
    <row r="61" spans="1:8" x14ac:dyDescent="0.25">
      <c r="A61" s="159"/>
      <c r="B61" s="269">
        <v>9.1999999999999993</v>
      </c>
      <c r="C61" s="269">
        <v>421</v>
      </c>
      <c r="D61" s="431">
        <f>25069.9*1.05</f>
        <v>26323.395000000004</v>
      </c>
      <c r="E61" s="431">
        <f>32481.71*1.05</f>
        <v>34105.7955</v>
      </c>
      <c r="F61" s="287">
        <f t="shared" si="6"/>
        <v>62525.87885985749</v>
      </c>
      <c r="G61" s="287">
        <f t="shared" si="7"/>
        <v>81011.390736342029</v>
      </c>
      <c r="H61" s="182"/>
    </row>
    <row r="62" spans="1:8" x14ac:dyDescent="0.25">
      <c r="A62" s="159"/>
      <c r="B62" s="269">
        <v>9.9</v>
      </c>
      <c r="C62" s="269">
        <v>488</v>
      </c>
      <c r="D62" s="431">
        <f>28987.64*1.05</f>
        <v>30437.022000000001</v>
      </c>
      <c r="E62" s="431">
        <f>37557.74*1.05</f>
        <v>39435.627</v>
      </c>
      <c r="F62" s="287">
        <f t="shared" si="6"/>
        <v>62370.946721311477</v>
      </c>
      <c r="G62" s="287">
        <f t="shared" si="7"/>
        <v>80810.711065573763</v>
      </c>
      <c r="H62" s="182"/>
    </row>
    <row r="63" spans="1:8" x14ac:dyDescent="0.25">
      <c r="A63" s="159"/>
      <c r="B63" s="269">
        <v>10.5</v>
      </c>
      <c r="C63" s="269">
        <v>560</v>
      </c>
      <c r="D63" s="431">
        <f>32905.15*1.05</f>
        <v>34550.407500000001</v>
      </c>
      <c r="E63" s="431">
        <f>42640.64*1.05</f>
        <v>44772.671999999999</v>
      </c>
      <c r="F63" s="287">
        <f t="shared" si="6"/>
        <v>61697.15625</v>
      </c>
      <c r="G63" s="287">
        <f t="shared" si="7"/>
        <v>79951.199999999997</v>
      </c>
      <c r="H63" s="182"/>
    </row>
    <row r="64" spans="1:8" x14ac:dyDescent="0.25">
      <c r="A64" s="159"/>
      <c r="B64" s="269">
        <v>11.5</v>
      </c>
      <c r="C64" s="269">
        <v>637</v>
      </c>
      <c r="D64" s="431">
        <f>37041.57*1.05</f>
        <v>38893.648500000003</v>
      </c>
      <c r="E64" s="431">
        <f>47992.77*1.05</f>
        <v>50392.408499999998</v>
      </c>
      <c r="F64" s="287">
        <f t="shared" si="6"/>
        <v>61057.532967032967</v>
      </c>
      <c r="G64" s="287">
        <f t="shared" si="7"/>
        <v>79108.961538461532</v>
      </c>
      <c r="H64" s="182"/>
    </row>
    <row r="65" spans="1:11" x14ac:dyDescent="0.25">
      <c r="A65" s="159"/>
      <c r="B65" s="269">
        <v>12</v>
      </c>
      <c r="C65" s="269">
        <v>719</v>
      </c>
      <c r="D65" s="431">
        <f>41038.07*1.05</f>
        <v>43089.9735</v>
      </c>
      <c r="E65" s="431">
        <f>53136.5*1.05</f>
        <v>55793.325000000004</v>
      </c>
      <c r="F65" s="287">
        <f t="shared" si="6"/>
        <v>59930.422114047287</v>
      </c>
      <c r="G65" s="287">
        <f t="shared" si="7"/>
        <v>77598.504867872049</v>
      </c>
      <c r="H65" s="182"/>
    </row>
    <row r="66" spans="1:11" x14ac:dyDescent="0.25">
      <c r="A66" s="159"/>
      <c r="B66" s="269">
        <v>12.5</v>
      </c>
      <c r="C66" s="269">
        <v>806</v>
      </c>
      <c r="D66" s="431">
        <f>43450.01*1.05</f>
        <v>45622.510500000004</v>
      </c>
      <c r="E66" s="431">
        <f>56256.7*1.05</f>
        <v>59069.534999999996</v>
      </c>
      <c r="F66" s="287">
        <f t="shared" si="6"/>
        <v>56603.611042183627</v>
      </c>
      <c r="G66" s="287">
        <f t="shared" si="7"/>
        <v>73287.264267990075</v>
      </c>
      <c r="H66" s="182"/>
    </row>
    <row r="67" spans="1:11" x14ac:dyDescent="0.25">
      <c r="A67" s="159"/>
      <c r="B67" s="269">
        <v>14</v>
      </c>
      <c r="C67" s="269">
        <v>993.6</v>
      </c>
      <c r="D67" s="431">
        <f>53106.1*1.05</f>
        <v>55761.404999999999</v>
      </c>
      <c r="E67" s="431">
        <f>68758.87*1.05</f>
        <v>72196.813500000004</v>
      </c>
      <c r="F67" s="287">
        <f t="shared" si="6"/>
        <v>56120.576690821254</v>
      </c>
      <c r="G67" s="287">
        <f t="shared" si="7"/>
        <v>72661.849335748804</v>
      </c>
      <c r="H67" s="182"/>
    </row>
    <row r="68" spans="1:11" x14ac:dyDescent="0.25">
      <c r="A68" s="159"/>
      <c r="B68" s="269">
        <v>15.5</v>
      </c>
      <c r="C68" s="269">
        <v>1200</v>
      </c>
      <c r="D68" s="431">
        <f>63762.63*1.05</f>
        <v>66950.761499999993</v>
      </c>
      <c r="E68" s="431">
        <f>82556.34*1.05</f>
        <v>86684.157000000007</v>
      </c>
      <c r="F68" s="287">
        <f t="shared" si="6"/>
        <v>55792.301249999997</v>
      </c>
      <c r="G68" s="287">
        <f t="shared" si="7"/>
        <v>72236.797500000015</v>
      </c>
      <c r="H68" s="182"/>
    </row>
    <row r="69" spans="1:11" x14ac:dyDescent="0.25">
      <c r="A69" s="159"/>
      <c r="B69" s="269">
        <v>17</v>
      </c>
      <c r="C69" s="269">
        <v>1425</v>
      </c>
      <c r="D69" s="431">
        <f>74931.16*1.05</f>
        <v>78677.718000000008</v>
      </c>
      <c r="E69" s="431">
        <f>97016.77*1.05</f>
        <v>101867.6085</v>
      </c>
      <c r="F69" s="287">
        <f t="shared" si="6"/>
        <v>55212.433684210533</v>
      </c>
      <c r="G69" s="287">
        <f t="shared" si="7"/>
        <v>71486.041052631583</v>
      </c>
      <c r="H69" s="182"/>
    </row>
    <row r="70" spans="1:11" x14ac:dyDescent="0.25">
      <c r="A70" s="159"/>
      <c r="B70" s="269">
        <v>18.5</v>
      </c>
      <c r="C70" s="269">
        <v>1685</v>
      </c>
      <c r="D70" s="431">
        <f>88142.88*1.05</f>
        <v>92550.024000000005</v>
      </c>
      <c r="E70" s="431">
        <f>114134.31*1.05</f>
        <v>119841.0255</v>
      </c>
      <c r="F70" s="287">
        <f t="shared" si="6"/>
        <v>54925.830267062316</v>
      </c>
      <c r="G70" s="287">
        <f t="shared" si="7"/>
        <v>71122.270326409489</v>
      </c>
      <c r="H70" s="182"/>
    </row>
    <row r="71" spans="1:11" x14ac:dyDescent="0.25">
      <c r="A71" s="159"/>
      <c r="B71" s="269">
        <v>20</v>
      </c>
      <c r="C71" s="269">
        <v>1955</v>
      </c>
      <c r="D71" s="431">
        <f>98863.8*1.05</f>
        <v>103806.99</v>
      </c>
      <c r="E71" s="431">
        <f>128001.39*1.05</f>
        <v>134401.4595</v>
      </c>
      <c r="F71" s="287">
        <f t="shared" si="6"/>
        <v>53098.204603580562</v>
      </c>
      <c r="G71" s="287">
        <f t="shared" si="7"/>
        <v>68747.549616368284</v>
      </c>
      <c r="H71" s="182"/>
    </row>
    <row r="72" spans="1:11" x14ac:dyDescent="0.25">
      <c r="A72" s="159"/>
      <c r="B72" s="269">
        <v>21</v>
      </c>
      <c r="C72" s="269">
        <v>2240</v>
      </c>
      <c r="D72" s="431">
        <f>108902.5*1.05</f>
        <v>114347.625</v>
      </c>
      <c r="E72" s="431">
        <f>141000.99*1.05</f>
        <v>148051.03949999998</v>
      </c>
      <c r="F72" s="287">
        <f t="shared" si="6"/>
        <v>51048.046875</v>
      </c>
      <c r="G72" s="287">
        <f t="shared" si="7"/>
        <v>66094.214062499988</v>
      </c>
      <c r="H72" s="182"/>
    </row>
    <row r="73" spans="1:11" x14ac:dyDescent="0.25">
      <c r="A73" s="159"/>
      <c r="B73" s="269">
        <v>22.5</v>
      </c>
      <c r="C73" s="269">
        <v>2550</v>
      </c>
      <c r="D73" s="431">
        <f>123249.61*1.05</f>
        <v>129412.09050000001</v>
      </c>
      <c r="E73" s="431">
        <f>159576.87*1.05</f>
        <v>167555.71350000001</v>
      </c>
      <c r="F73" s="287">
        <f t="shared" si="6"/>
        <v>50749.839411764711</v>
      </c>
      <c r="G73" s="287">
        <f t="shared" si="7"/>
        <v>65708.122941176465</v>
      </c>
      <c r="H73" s="182"/>
    </row>
    <row r="74" spans="1:11" x14ac:dyDescent="0.25">
      <c r="A74" s="159"/>
      <c r="B74" s="269">
        <v>24</v>
      </c>
      <c r="C74" s="269">
        <v>2875</v>
      </c>
      <c r="D74" s="431">
        <f>138464.48*1.05</f>
        <v>145387.70400000003</v>
      </c>
      <c r="E74" s="431">
        <f>179276.23*1.05</f>
        <v>188240.04150000002</v>
      </c>
      <c r="F74" s="287">
        <f t="shared" si="6"/>
        <v>50569.636173913052</v>
      </c>
      <c r="G74" s="287">
        <f>E74/C74*1000</f>
        <v>65474.797043478262</v>
      </c>
      <c r="H74" s="182"/>
    </row>
    <row r="75" spans="1:11" x14ac:dyDescent="0.25">
      <c r="A75" s="159"/>
      <c r="B75" s="472">
        <v>27</v>
      </c>
      <c r="C75" s="290">
        <v>3590</v>
      </c>
      <c r="D75" s="431">
        <f>172000.87*1.05</f>
        <v>180600.9135</v>
      </c>
      <c r="E75" s="431">
        <f>222700.95*1.05</f>
        <v>233835.99750000003</v>
      </c>
      <c r="F75" s="287">
        <f t="shared" si="6"/>
        <v>50306.661142061283</v>
      </c>
      <c r="G75" s="287">
        <f t="shared" si="7"/>
        <v>65135.375348189424</v>
      </c>
      <c r="H75" s="182"/>
      <c r="K75" s="24"/>
    </row>
    <row r="76" spans="1:11" x14ac:dyDescent="0.25">
      <c r="A76" s="159"/>
      <c r="H76" s="182"/>
    </row>
  </sheetData>
  <mergeCells count="18">
    <mergeCell ref="H5:I5"/>
    <mergeCell ref="J5:K5"/>
    <mergeCell ref="H4:K4"/>
    <mergeCell ref="J2:K3"/>
    <mergeCell ref="B2:E2"/>
    <mergeCell ref="B3:E3"/>
    <mergeCell ref="B5:B6"/>
    <mergeCell ref="C5:C6"/>
    <mergeCell ref="D5:E5"/>
    <mergeCell ref="F5:G5"/>
    <mergeCell ref="D4:G4"/>
    <mergeCell ref="B42:E42"/>
    <mergeCell ref="F42:G43"/>
    <mergeCell ref="B43:E43"/>
    <mergeCell ref="B44:B45"/>
    <mergeCell ref="C44:C45"/>
    <mergeCell ref="D44:E44"/>
    <mergeCell ref="F44:G44"/>
  </mergeCells>
  <phoneticPr fontId="0" type="noConversion"/>
  <hyperlinks>
    <hyperlink ref="L1" location="'2'!A1" display="Оглавление"/>
  </hyperlinks>
  <printOptions horizontalCentered="1"/>
  <pageMargins left="0.59055118110236227" right="0.59055118110236227" top="0.51181102362204722" bottom="0.82677165354330717" header="0.23622047244094491" footer="0.27559055118110237"/>
  <pageSetup paperSize="9" scale="77" orientation="portrait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L77"/>
  <sheetViews>
    <sheetView view="pageBreakPreview" zoomScale="85" zoomScaleNormal="75" workbookViewId="0"/>
  </sheetViews>
  <sheetFormatPr defaultColWidth="8.88671875" defaultRowHeight="13.2" x14ac:dyDescent="0.25"/>
  <cols>
    <col min="1" max="1" width="7.5546875" style="24" customWidth="1"/>
    <col min="2" max="2" width="7.44140625" style="10" customWidth="1"/>
    <col min="3" max="3" width="21" style="10" customWidth="1"/>
    <col min="4" max="11" width="12.33203125" style="10" customWidth="1"/>
    <col min="12" max="16384" width="8.88671875" style="10"/>
  </cols>
  <sheetData>
    <row r="1" spans="1:12" x14ac:dyDescent="0.25">
      <c r="G1" s="29"/>
      <c r="K1" s="29">
        <v>41091</v>
      </c>
      <c r="L1" s="54" t="s">
        <v>466</v>
      </c>
    </row>
    <row r="2" spans="1:12" x14ac:dyDescent="0.25">
      <c r="B2" s="621" t="s">
        <v>132</v>
      </c>
      <c r="C2" s="622"/>
      <c r="D2" s="622"/>
      <c r="E2" s="622"/>
      <c r="F2" s="622"/>
      <c r="G2" s="622"/>
      <c r="H2" s="622"/>
      <c r="I2" s="623"/>
      <c r="J2" s="568" t="s">
        <v>127</v>
      </c>
      <c r="K2" s="568"/>
    </row>
    <row r="3" spans="1:12" x14ac:dyDescent="0.25">
      <c r="B3" s="624" t="s">
        <v>129</v>
      </c>
      <c r="C3" s="625"/>
      <c r="D3" s="625"/>
      <c r="E3" s="625"/>
      <c r="F3" s="625"/>
      <c r="G3" s="625"/>
      <c r="H3" s="625"/>
      <c r="I3" s="626"/>
      <c r="J3" s="568"/>
      <c r="K3" s="568"/>
    </row>
    <row r="4" spans="1:12" x14ac:dyDescent="0.25">
      <c r="B4" s="487"/>
      <c r="C4" s="488"/>
      <c r="D4" s="615" t="s">
        <v>723</v>
      </c>
      <c r="E4" s="616"/>
      <c r="F4" s="616"/>
      <c r="G4" s="617"/>
      <c r="H4" s="618" t="s">
        <v>796</v>
      </c>
      <c r="I4" s="619"/>
      <c r="J4" s="619"/>
      <c r="K4" s="620"/>
    </row>
    <row r="5" spans="1:12" ht="27.6" customHeight="1" x14ac:dyDescent="0.25">
      <c r="B5" s="565" t="s">
        <v>104</v>
      </c>
      <c r="C5" s="565" t="s">
        <v>119</v>
      </c>
      <c r="D5" s="565" t="s">
        <v>797</v>
      </c>
      <c r="E5" s="565"/>
      <c r="F5" s="565" t="s">
        <v>500</v>
      </c>
      <c r="G5" s="565"/>
      <c r="H5" s="565" t="s">
        <v>798</v>
      </c>
      <c r="I5" s="565"/>
      <c r="J5" s="565" t="s">
        <v>500</v>
      </c>
      <c r="K5" s="565"/>
    </row>
    <row r="6" spans="1:12" x14ac:dyDescent="0.25">
      <c r="A6" s="124"/>
      <c r="B6" s="565"/>
      <c r="C6" s="565"/>
      <c r="D6" s="475" t="s">
        <v>120</v>
      </c>
      <c r="E6" s="475" t="s">
        <v>795</v>
      </c>
      <c r="F6" s="475" t="s">
        <v>120</v>
      </c>
      <c r="G6" s="475" t="s">
        <v>795</v>
      </c>
      <c r="H6" s="475" t="s">
        <v>120</v>
      </c>
      <c r="I6" s="475" t="s">
        <v>795</v>
      </c>
      <c r="J6" s="475" t="s">
        <v>120</v>
      </c>
      <c r="K6" s="475" t="s">
        <v>795</v>
      </c>
    </row>
    <row r="7" spans="1:12" ht="15" customHeight="1" x14ac:dyDescent="0.25">
      <c r="A7" s="160"/>
      <c r="B7" s="269">
        <v>1.9</v>
      </c>
      <c r="C7" s="269">
        <v>14.3</v>
      </c>
      <c r="D7" s="431">
        <f>6837.47*1.05</f>
        <v>7179.3435000000009</v>
      </c>
      <c r="E7" s="431">
        <f>8902.2*1.05</f>
        <v>9347.3100000000013</v>
      </c>
      <c r="F7" s="287">
        <f t="shared" ref="F7:F36" si="0">D7/C7*1000</f>
        <v>502051.99300699303</v>
      </c>
      <c r="G7" s="287">
        <f t="shared" ref="G7:G36" si="1">E7/C7*1000</f>
        <v>653658.04195804195</v>
      </c>
      <c r="H7" s="431">
        <f>6104.89*1.05</f>
        <v>6410.134500000001</v>
      </c>
      <c r="I7" s="431">
        <f>7948.4*1.05</f>
        <v>8345.82</v>
      </c>
      <c r="J7" s="287">
        <f>H7/$C7*1000</f>
        <v>448261.15384615387</v>
      </c>
      <c r="K7" s="287">
        <f>I7/$C7*1000</f>
        <v>583623.77622377616</v>
      </c>
    </row>
    <row r="8" spans="1:12" ht="15" customHeight="1" x14ac:dyDescent="0.25">
      <c r="A8" s="108"/>
      <c r="B8" s="269">
        <v>2</v>
      </c>
      <c r="C8" s="269">
        <v>17.3</v>
      </c>
      <c r="D8" s="431">
        <f>7053.42*1.05</f>
        <v>7406.0910000000003</v>
      </c>
      <c r="E8" s="431">
        <f>9146.38*1.05</f>
        <v>9603.6989999999987</v>
      </c>
      <c r="F8" s="287">
        <f t="shared" si="0"/>
        <v>428097.74566473986</v>
      </c>
      <c r="G8" s="287">
        <f t="shared" si="1"/>
        <v>555127.10982658947</v>
      </c>
      <c r="H8" s="431">
        <f>6297.7*1.05</f>
        <v>6612.585</v>
      </c>
      <c r="I8" s="431">
        <f>8166.42*1.05</f>
        <v>8574.741</v>
      </c>
      <c r="J8" s="287">
        <f t="shared" ref="J8:J36" si="2">H8/$C8*1000</f>
        <v>382230.34682080924</v>
      </c>
      <c r="K8" s="287">
        <f t="shared" ref="K8:K36" si="3">I8/$C8*1000</f>
        <v>495649.76878612716</v>
      </c>
    </row>
    <row r="9" spans="1:12" ht="15" customHeight="1" x14ac:dyDescent="0.25">
      <c r="A9" s="108"/>
      <c r="B9" s="269">
        <v>2.2000000000000002</v>
      </c>
      <c r="C9" s="269">
        <v>20.6</v>
      </c>
      <c r="D9" s="431">
        <f>7055.78*1.05</f>
        <v>7408.5690000000004</v>
      </c>
      <c r="E9" s="431">
        <f>9262.65*1.05</f>
        <v>9725.7824999999993</v>
      </c>
      <c r="F9" s="287">
        <f t="shared" si="0"/>
        <v>359639.27184466016</v>
      </c>
      <c r="G9" s="287">
        <f t="shared" si="1"/>
        <v>472125.3640776698</v>
      </c>
      <c r="H9" s="431">
        <f>6299.81*1.05</f>
        <v>6614.8005000000003</v>
      </c>
      <c r="I9" s="431">
        <f>8270.22*1.05</f>
        <v>8683.7309999999998</v>
      </c>
      <c r="J9" s="287">
        <f t="shared" si="2"/>
        <v>321106.82038834947</v>
      </c>
      <c r="K9" s="287">
        <f t="shared" si="3"/>
        <v>421540.33980582521</v>
      </c>
    </row>
    <row r="10" spans="1:12" ht="15" customHeight="1" x14ac:dyDescent="0.25">
      <c r="A10" s="108"/>
      <c r="B10" s="269">
        <v>2.4</v>
      </c>
      <c r="C10" s="269">
        <v>24.2</v>
      </c>
      <c r="D10" s="431">
        <f>7264.66*1.05</f>
        <v>7627.893</v>
      </c>
      <c r="E10" s="431">
        <f>9502.17*1.05</f>
        <v>9977.2785000000003</v>
      </c>
      <c r="F10" s="287">
        <f t="shared" si="0"/>
        <v>315202.19008264464</v>
      </c>
      <c r="G10" s="287">
        <f t="shared" si="1"/>
        <v>412284.23553719011</v>
      </c>
      <c r="H10" s="431">
        <f>6486.3*1.05</f>
        <v>6810.6150000000007</v>
      </c>
      <c r="I10" s="431">
        <f>8484.08*1.05</f>
        <v>8908.2839999999997</v>
      </c>
      <c r="J10" s="287">
        <f t="shared" si="2"/>
        <v>281430.37190082646</v>
      </c>
      <c r="K10" s="287">
        <f t="shared" si="3"/>
        <v>368110.90909090912</v>
      </c>
    </row>
    <row r="11" spans="1:12" ht="15" customHeight="1" x14ac:dyDescent="0.25">
      <c r="A11" s="108"/>
      <c r="B11" s="269">
        <v>2.6</v>
      </c>
      <c r="C11" s="269">
        <v>28</v>
      </c>
      <c r="D11" s="431">
        <f>7379.68*1.05</f>
        <v>7748.6640000000007</v>
      </c>
      <c r="E11" s="431">
        <f>9664.98*1.05</f>
        <v>10148.228999999999</v>
      </c>
      <c r="F11" s="287">
        <f t="shared" si="0"/>
        <v>276738</v>
      </c>
      <c r="G11" s="287">
        <f t="shared" si="1"/>
        <v>362436.74999999994</v>
      </c>
      <c r="H11" s="431">
        <f>6589*1.05</f>
        <v>6918.4500000000007</v>
      </c>
      <c r="I11" s="431">
        <f>8629.45*1.05</f>
        <v>9060.9225000000006</v>
      </c>
      <c r="J11" s="287">
        <f t="shared" si="2"/>
        <v>247087.50000000003</v>
      </c>
      <c r="K11" s="287">
        <f t="shared" si="3"/>
        <v>323604.375</v>
      </c>
    </row>
    <row r="12" spans="1:12" ht="15" customHeight="1" x14ac:dyDescent="0.25">
      <c r="A12" s="108"/>
      <c r="B12" s="269">
        <v>2.8</v>
      </c>
      <c r="C12" s="269">
        <v>32</v>
      </c>
      <c r="D12" s="431">
        <f>7410.21*1.05</f>
        <v>7780.7205000000004</v>
      </c>
      <c r="E12" s="431">
        <f>9837.05*1.05</f>
        <v>10328.9025</v>
      </c>
      <c r="F12" s="287">
        <f t="shared" si="0"/>
        <v>243147.515625</v>
      </c>
      <c r="G12" s="287">
        <f t="shared" si="1"/>
        <v>322778.203125</v>
      </c>
      <c r="H12" s="431">
        <f>6616.26*1.05</f>
        <v>6947.0730000000003</v>
      </c>
      <c r="I12" s="431">
        <f>8783.08*1.05</f>
        <v>9222.2340000000004</v>
      </c>
      <c r="J12" s="287">
        <f t="shared" si="2"/>
        <v>217096.03125</v>
      </c>
      <c r="K12" s="287">
        <f t="shared" si="3"/>
        <v>288194.8125</v>
      </c>
    </row>
    <row r="13" spans="1:12" ht="15" customHeight="1" x14ac:dyDescent="0.25">
      <c r="A13" s="108"/>
      <c r="B13" s="269">
        <v>3.1</v>
      </c>
      <c r="C13" s="269">
        <v>41.1</v>
      </c>
      <c r="D13" s="431">
        <f>7708.31*1.05</f>
        <v>8093.7255000000005</v>
      </c>
      <c r="E13" s="431">
        <f>10285.89*1.05</f>
        <v>10800.184499999999</v>
      </c>
      <c r="F13" s="287">
        <f t="shared" si="0"/>
        <v>196927.62773722628</v>
      </c>
      <c r="G13" s="287">
        <f t="shared" si="1"/>
        <v>262778.21167883207</v>
      </c>
      <c r="H13" s="431">
        <f>6882.42*1.05</f>
        <v>7226.5410000000002</v>
      </c>
      <c r="I13" s="431">
        <f>9183.84*1.05</f>
        <v>9643.0320000000011</v>
      </c>
      <c r="J13" s="287">
        <f t="shared" si="2"/>
        <v>175828.24817518247</v>
      </c>
      <c r="K13" s="287">
        <f t="shared" si="3"/>
        <v>234623.64963503651</v>
      </c>
    </row>
    <row r="14" spans="1:12" ht="15" customHeight="1" x14ac:dyDescent="0.25">
      <c r="A14" s="108"/>
      <c r="B14" s="269">
        <v>3.5</v>
      </c>
      <c r="C14" s="269">
        <v>51.2</v>
      </c>
      <c r="D14" s="431">
        <f>8166.02*1.05</f>
        <v>8574.3209999999999</v>
      </c>
      <c r="E14" s="431">
        <f>10813.79*1.05</f>
        <v>11354.479500000001</v>
      </c>
      <c r="F14" s="287">
        <f t="shared" si="0"/>
        <v>167467.20703124997</v>
      </c>
      <c r="G14" s="287">
        <f t="shared" si="1"/>
        <v>221767.17773437503</v>
      </c>
      <c r="H14" s="431">
        <f>7291.08*1.05</f>
        <v>7655.634</v>
      </c>
      <c r="I14" s="431">
        <f>9655.17*1.05</f>
        <v>10137.9285</v>
      </c>
      <c r="J14" s="287">
        <f t="shared" si="2"/>
        <v>149524.1015625</v>
      </c>
      <c r="K14" s="287">
        <f t="shared" si="3"/>
        <v>198006.41601562497</v>
      </c>
    </row>
    <row r="15" spans="1:12" ht="15" customHeight="1" x14ac:dyDescent="0.25">
      <c r="A15" s="108"/>
      <c r="B15" s="269">
        <v>3.8</v>
      </c>
      <c r="C15" s="269">
        <v>58</v>
      </c>
      <c r="D15" s="431">
        <f>8276.33*1.05</f>
        <v>8690.1465000000007</v>
      </c>
      <c r="E15" s="431">
        <f>11057.97*1.05</f>
        <v>11610.8685</v>
      </c>
      <c r="F15" s="287">
        <f t="shared" si="0"/>
        <v>149830.11206896551</v>
      </c>
      <c r="G15" s="287">
        <f t="shared" si="1"/>
        <v>200187.38793103449</v>
      </c>
      <c r="H15" s="431">
        <f>7389.58*1.05</f>
        <v>7759.0590000000002</v>
      </c>
      <c r="I15" s="431">
        <f>9873.19*1.05</f>
        <v>10366.8495</v>
      </c>
      <c r="J15" s="287">
        <f t="shared" si="2"/>
        <v>133776.87931034484</v>
      </c>
      <c r="K15" s="287">
        <f t="shared" si="3"/>
        <v>178738.78448275864</v>
      </c>
    </row>
    <row r="16" spans="1:12" ht="15" customHeight="1" x14ac:dyDescent="0.25">
      <c r="A16" s="108"/>
      <c r="B16" s="269">
        <v>4.2</v>
      </c>
      <c r="C16" s="269">
        <v>72</v>
      </c>
      <c r="D16" s="431">
        <f>9020.24*1.05</f>
        <v>9471.2520000000004</v>
      </c>
      <c r="E16" s="431">
        <f>11788.18*1.05</f>
        <v>12377.589</v>
      </c>
      <c r="F16" s="287">
        <f t="shared" si="0"/>
        <v>131545.16666666666</v>
      </c>
      <c r="G16" s="287">
        <f t="shared" si="1"/>
        <v>171910.95833333331</v>
      </c>
      <c r="H16" s="431">
        <f>8053.78*1.05</f>
        <v>8456.469000000001</v>
      </c>
      <c r="I16" s="431">
        <f>10525.16*1.05</f>
        <v>11051.418</v>
      </c>
      <c r="J16" s="287">
        <f t="shared" si="2"/>
        <v>117450.95833333334</v>
      </c>
      <c r="K16" s="287">
        <f t="shared" si="3"/>
        <v>153491.91666666666</v>
      </c>
    </row>
    <row r="17" spans="1:11" ht="15" customHeight="1" x14ac:dyDescent="0.25">
      <c r="A17" s="108"/>
      <c r="B17" s="269">
        <v>4.5999999999999996</v>
      </c>
      <c r="C17" s="269">
        <v>90</v>
      </c>
      <c r="D17" s="431">
        <f>9305.36*1.05</f>
        <v>9770.6280000000006</v>
      </c>
      <c r="E17" s="431">
        <f>12469.13*1.05</f>
        <v>13092.586499999999</v>
      </c>
      <c r="F17" s="287">
        <f t="shared" si="0"/>
        <v>108562.53333333334</v>
      </c>
      <c r="G17" s="287">
        <f t="shared" si="1"/>
        <v>145473.18333333335</v>
      </c>
      <c r="H17" s="431">
        <f>8308.37*1.05</f>
        <v>8723.7885000000006</v>
      </c>
      <c r="I17" s="431">
        <f>11133.15*1.05</f>
        <v>11689.807500000001</v>
      </c>
      <c r="J17" s="287">
        <f t="shared" si="2"/>
        <v>96930.983333333337</v>
      </c>
      <c r="K17" s="287">
        <f t="shared" si="3"/>
        <v>129886.75</v>
      </c>
    </row>
    <row r="18" spans="1:11" ht="15" customHeight="1" x14ac:dyDescent="0.25">
      <c r="A18" s="108"/>
      <c r="B18" s="269">
        <v>5.6</v>
      </c>
      <c r="C18" s="269">
        <v>129</v>
      </c>
      <c r="D18" s="431">
        <f>11551.93*1.05</f>
        <v>12129.5265</v>
      </c>
      <c r="E18" s="431">
        <f>15663.48*1.05</f>
        <v>16446.653999999999</v>
      </c>
      <c r="F18" s="287">
        <f t="shared" si="0"/>
        <v>94027.337209302335</v>
      </c>
      <c r="G18" s="287">
        <f t="shared" si="1"/>
        <v>127493.44186046511</v>
      </c>
      <c r="H18" s="431">
        <f>10314.21*1.05</f>
        <v>10829.9205</v>
      </c>
      <c r="I18" s="431">
        <f>13985.25*1.05</f>
        <v>14684.512500000001</v>
      </c>
      <c r="J18" s="287">
        <f t="shared" si="2"/>
        <v>83952.872093023267</v>
      </c>
      <c r="K18" s="287">
        <f t="shared" si="3"/>
        <v>113833.43023255814</v>
      </c>
    </row>
    <row r="19" spans="1:11" ht="15" customHeight="1" x14ac:dyDescent="0.25">
      <c r="A19" s="108"/>
      <c r="B19" s="269">
        <v>6.4</v>
      </c>
      <c r="C19" s="269">
        <v>175</v>
      </c>
      <c r="D19" s="431">
        <f>12124.08*1.05</f>
        <v>12730.284</v>
      </c>
      <c r="E19" s="431">
        <f>16387.32*1.05</f>
        <v>17206.686000000002</v>
      </c>
      <c r="F19" s="287">
        <f t="shared" si="0"/>
        <v>72744.479999999996</v>
      </c>
      <c r="G19" s="287">
        <f t="shared" si="1"/>
        <v>98323.920000000013</v>
      </c>
      <c r="H19" s="431">
        <f>12124.08*1.05</f>
        <v>12730.284</v>
      </c>
      <c r="I19" s="431">
        <f>16387.32*1.05</f>
        <v>17206.686000000002</v>
      </c>
      <c r="J19" s="287">
        <f t="shared" si="2"/>
        <v>72744.479999999996</v>
      </c>
      <c r="K19" s="287">
        <f t="shared" si="3"/>
        <v>98323.920000000013</v>
      </c>
    </row>
    <row r="20" spans="1:11" ht="15" customHeight="1" x14ac:dyDescent="0.25">
      <c r="A20" s="159"/>
      <c r="B20" s="269">
        <v>7.4</v>
      </c>
      <c r="C20" s="269">
        <v>228</v>
      </c>
      <c r="D20" s="431">
        <f>15526*1.05</f>
        <v>16302.300000000001</v>
      </c>
      <c r="E20" s="431">
        <f>20112.09*1.05</f>
        <v>21117.694500000001</v>
      </c>
      <c r="F20" s="287">
        <f t="shared" si="0"/>
        <v>71501.315789473694</v>
      </c>
      <c r="G20" s="287">
        <f t="shared" si="1"/>
        <v>92621.46710526316</v>
      </c>
      <c r="H20" s="431">
        <f>15526*1.05</f>
        <v>16302.300000000001</v>
      </c>
      <c r="I20" s="431">
        <f>20112.09*1.05</f>
        <v>21117.694500000001</v>
      </c>
      <c r="J20" s="287">
        <f t="shared" si="2"/>
        <v>71501.315789473694</v>
      </c>
      <c r="K20" s="287">
        <f t="shared" si="3"/>
        <v>92621.46710526316</v>
      </c>
    </row>
    <row r="21" spans="1:11" ht="15" customHeight="1" x14ac:dyDescent="0.25">
      <c r="A21" s="159"/>
      <c r="B21" s="269">
        <v>8.1999999999999993</v>
      </c>
      <c r="C21" s="269">
        <v>288</v>
      </c>
      <c r="D21" s="431">
        <f>17560.71*1.05</f>
        <v>18438.745500000001</v>
      </c>
      <c r="E21" s="431">
        <f>22747.08*1.05</f>
        <v>23884.434000000001</v>
      </c>
      <c r="F21" s="287">
        <f t="shared" si="0"/>
        <v>64023.421875</v>
      </c>
      <c r="G21" s="287">
        <f t="shared" si="1"/>
        <v>82932.0625</v>
      </c>
      <c r="H21" s="431">
        <f>17560.71*1.05</f>
        <v>18438.745500000001</v>
      </c>
      <c r="I21" s="431">
        <f>22747.08*1.05</f>
        <v>23884.434000000001</v>
      </c>
      <c r="J21" s="287">
        <f t="shared" si="2"/>
        <v>64023.421875</v>
      </c>
      <c r="K21" s="287">
        <f t="shared" si="3"/>
        <v>82932.0625</v>
      </c>
    </row>
    <row r="22" spans="1:11" ht="15" customHeight="1" x14ac:dyDescent="0.25">
      <c r="A22" s="124"/>
      <c r="B22" s="269">
        <v>9.1999999999999993</v>
      </c>
      <c r="C22" s="269">
        <v>360</v>
      </c>
      <c r="D22" s="431">
        <f>20343.4*1.05</f>
        <v>21360.570000000003</v>
      </c>
      <c r="E22" s="431">
        <f>26352.11*1.05</f>
        <v>27669.715500000002</v>
      </c>
      <c r="F22" s="287">
        <f t="shared" si="0"/>
        <v>59334.916666666679</v>
      </c>
      <c r="G22" s="287">
        <f t="shared" si="1"/>
        <v>76860.320833333331</v>
      </c>
      <c r="H22" s="431">
        <f>20343.4*1.05</f>
        <v>21360.570000000003</v>
      </c>
      <c r="I22" s="431">
        <f>26352.11*1.05</f>
        <v>27669.715500000002</v>
      </c>
      <c r="J22" s="287">
        <f t="shared" si="2"/>
        <v>59334.916666666679</v>
      </c>
      <c r="K22" s="287">
        <f t="shared" si="3"/>
        <v>76860.320833333331</v>
      </c>
    </row>
    <row r="23" spans="1:11" ht="15" customHeight="1" x14ac:dyDescent="0.25">
      <c r="A23" s="124"/>
      <c r="B23" s="269">
        <v>10</v>
      </c>
      <c r="C23" s="269">
        <v>435</v>
      </c>
      <c r="D23" s="431">
        <f>23935.06*1.05</f>
        <v>25131.813000000002</v>
      </c>
      <c r="E23" s="431">
        <f>30987.21*1.05</f>
        <v>32536.570500000002</v>
      </c>
      <c r="F23" s="287">
        <f t="shared" si="0"/>
        <v>57774.282758620691</v>
      </c>
      <c r="G23" s="287">
        <f t="shared" si="1"/>
        <v>74796.713793103452</v>
      </c>
      <c r="H23" s="431">
        <f>23935.06*1.05</f>
        <v>25131.813000000002</v>
      </c>
      <c r="I23" s="431">
        <f>30987.21*1.05</f>
        <v>32536.570500000002</v>
      </c>
      <c r="J23" s="287">
        <f t="shared" si="2"/>
        <v>57774.282758620691</v>
      </c>
      <c r="K23" s="287">
        <f t="shared" si="3"/>
        <v>74796.713793103452</v>
      </c>
    </row>
    <row r="24" spans="1:11" ht="15" customHeight="1" x14ac:dyDescent="0.25">
      <c r="A24" s="124"/>
      <c r="B24" s="269">
        <v>11</v>
      </c>
      <c r="C24" s="269">
        <v>516</v>
      </c>
      <c r="D24" s="431">
        <f>28073.4*1.05</f>
        <v>29477.070000000003</v>
      </c>
      <c r="E24" s="431">
        <f>36358.03*1.05</f>
        <v>38175.931499999999</v>
      </c>
      <c r="F24" s="287">
        <f t="shared" si="0"/>
        <v>57126.104651162801</v>
      </c>
      <c r="G24" s="287">
        <f t="shared" si="1"/>
        <v>73984.363372093008</v>
      </c>
      <c r="H24" s="431">
        <f>28073.4*1.05</f>
        <v>29477.070000000003</v>
      </c>
      <c r="I24" s="431">
        <f>36358.03*1.05</f>
        <v>38175.931499999999</v>
      </c>
      <c r="J24" s="287">
        <f t="shared" si="2"/>
        <v>57126.104651162801</v>
      </c>
      <c r="K24" s="287">
        <f t="shared" si="3"/>
        <v>73984.363372093008</v>
      </c>
    </row>
    <row r="25" spans="1:11" ht="15" customHeight="1" x14ac:dyDescent="0.25">
      <c r="A25" s="124"/>
      <c r="B25" s="269">
        <v>12</v>
      </c>
      <c r="C25" s="269">
        <v>604</v>
      </c>
      <c r="D25" s="431">
        <f>32806.12*1.05</f>
        <v>34446.426000000007</v>
      </c>
      <c r="E25" s="431">
        <f>42501.94*1.05</f>
        <v>44627.037000000004</v>
      </c>
      <c r="F25" s="287">
        <f t="shared" si="0"/>
        <v>57030.506622516572</v>
      </c>
      <c r="G25" s="287">
        <f t="shared" si="1"/>
        <v>73885.822847682124</v>
      </c>
      <c r="H25" s="431">
        <f>32806.12*1.05</f>
        <v>34446.426000000007</v>
      </c>
      <c r="I25" s="431">
        <f>42501.94*1.05</f>
        <v>44627.037000000004</v>
      </c>
      <c r="J25" s="287">
        <f t="shared" si="2"/>
        <v>57030.506622516572</v>
      </c>
      <c r="K25" s="287">
        <f t="shared" si="3"/>
        <v>73885.822847682124</v>
      </c>
    </row>
    <row r="26" spans="1:11" ht="15" customHeight="1" x14ac:dyDescent="0.25">
      <c r="A26" s="124"/>
      <c r="B26" s="269">
        <v>13</v>
      </c>
      <c r="C26" s="269">
        <v>699.5</v>
      </c>
      <c r="D26" s="431">
        <f>39801.64*1.05</f>
        <v>41791.722000000002</v>
      </c>
      <c r="E26" s="431">
        <f>51529.59*1.05</f>
        <v>54106.069499999998</v>
      </c>
      <c r="F26" s="287">
        <f t="shared" si="0"/>
        <v>59745.135096497499</v>
      </c>
      <c r="G26" s="287">
        <f t="shared" si="1"/>
        <v>77349.634739099361</v>
      </c>
      <c r="H26" s="431">
        <f>39801.64*1.05</f>
        <v>41791.722000000002</v>
      </c>
      <c r="I26" s="431">
        <f>51529.59*1.05</f>
        <v>54106.069499999998</v>
      </c>
      <c r="J26" s="287">
        <f t="shared" si="2"/>
        <v>59745.135096497499</v>
      </c>
      <c r="K26" s="287">
        <f t="shared" si="3"/>
        <v>77349.634739099361</v>
      </c>
    </row>
    <row r="27" spans="1:11" ht="15" customHeight="1" x14ac:dyDescent="0.25">
      <c r="A27" s="124"/>
      <c r="B27" s="269">
        <v>14</v>
      </c>
      <c r="C27" s="269">
        <v>802</v>
      </c>
      <c r="D27" s="431">
        <f>45183.72*1.05</f>
        <v>47442.906000000003</v>
      </c>
      <c r="E27" s="431">
        <f>58539.83*1.05</f>
        <v>61466.821500000005</v>
      </c>
      <c r="F27" s="287">
        <f t="shared" si="0"/>
        <v>59155.743142144645</v>
      </c>
      <c r="G27" s="287">
        <f t="shared" si="1"/>
        <v>76641.922069825436</v>
      </c>
      <c r="H27" s="431">
        <f>45183.72*1.05</f>
        <v>47442.906000000003</v>
      </c>
      <c r="I27" s="431">
        <f>58539.83*1.05</f>
        <v>61466.821500000005</v>
      </c>
      <c r="J27" s="287">
        <f t="shared" si="2"/>
        <v>59155.743142144645</v>
      </c>
      <c r="K27" s="287">
        <f t="shared" si="3"/>
        <v>76641.922069825436</v>
      </c>
    </row>
    <row r="28" spans="1:11" ht="15" customHeight="1" x14ac:dyDescent="0.25">
      <c r="A28" s="124"/>
      <c r="B28" s="269">
        <v>15</v>
      </c>
      <c r="C28" s="269">
        <v>911</v>
      </c>
      <c r="D28" s="431">
        <f>46994.91*1.05</f>
        <v>49344.655500000008</v>
      </c>
      <c r="E28" s="431">
        <f>60892.57*1.05</f>
        <v>63937.198500000006</v>
      </c>
      <c r="F28" s="287">
        <f t="shared" si="0"/>
        <v>54165.373765093311</v>
      </c>
      <c r="G28" s="287">
        <f t="shared" si="1"/>
        <v>70183.532930845235</v>
      </c>
      <c r="H28" s="431">
        <f>46994.91*1.05</f>
        <v>49344.655500000008</v>
      </c>
      <c r="I28" s="431">
        <f>60892.57*1.05</f>
        <v>63937.198500000006</v>
      </c>
      <c r="J28" s="287">
        <f t="shared" si="2"/>
        <v>54165.373765093311</v>
      </c>
      <c r="K28" s="287">
        <f t="shared" si="3"/>
        <v>70183.532930845235</v>
      </c>
    </row>
    <row r="29" spans="1:11" ht="15" customHeight="1" x14ac:dyDescent="0.25">
      <c r="A29" s="124"/>
      <c r="B29" s="269">
        <v>15.5</v>
      </c>
      <c r="C29" s="269">
        <v>1030</v>
      </c>
      <c r="D29" s="431">
        <f>53637.78*1.05</f>
        <v>56319.669000000002</v>
      </c>
      <c r="E29" s="431">
        <f>69501.32*1.05</f>
        <v>72976.386000000013</v>
      </c>
      <c r="F29" s="287">
        <f t="shared" si="0"/>
        <v>54679.290291262136</v>
      </c>
      <c r="G29" s="287">
        <f t="shared" si="1"/>
        <v>70850.860194174777</v>
      </c>
      <c r="H29" s="431">
        <f>53637.78*1.05</f>
        <v>56319.669000000002</v>
      </c>
      <c r="I29" s="431">
        <f>69501.32*1.05</f>
        <v>72976.386000000013</v>
      </c>
      <c r="J29" s="287">
        <f t="shared" si="2"/>
        <v>54679.290291262136</v>
      </c>
      <c r="K29" s="287">
        <f t="shared" si="3"/>
        <v>70850.860194174777</v>
      </c>
    </row>
    <row r="30" spans="1:11" ht="15" customHeight="1" x14ac:dyDescent="0.25">
      <c r="A30" s="124"/>
      <c r="B30" s="269">
        <v>16.5</v>
      </c>
      <c r="C30" s="269">
        <v>1150</v>
      </c>
      <c r="D30" s="431">
        <f>58798.07*1.05</f>
        <v>61737.9735</v>
      </c>
      <c r="E30" s="431">
        <f>76170.59*1.05</f>
        <v>79979.119500000001</v>
      </c>
      <c r="F30" s="287">
        <f t="shared" si="0"/>
        <v>53685.19434782608</v>
      </c>
      <c r="G30" s="287">
        <f t="shared" si="1"/>
        <v>69547.060434782601</v>
      </c>
      <c r="H30" s="431">
        <f>58798.07*1.05</f>
        <v>61737.9735</v>
      </c>
      <c r="I30" s="431">
        <f>76170.59*1.05</f>
        <v>79979.119500000001</v>
      </c>
      <c r="J30" s="287">
        <f t="shared" si="2"/>
        <v>53685.19434782608</v>
      </c>
      <c r="K30" s="287">
        <f t="shared" si="3"/>
        <v>69547.060434782601</v>
      </c>
    </row>
    <row r="31" spans="1:11" ht="15" customHeight="1" x14ac:dyDescent="0.25">
      <c r="A31" s="124"/>
      <c r="B31" s="269">
        <v>18.5</v>
      </c>
      <c r="C31" s="269">
        <v>1441</v>
      </c>
      <c r="D31" s="431">
        <f>72051.49*1.05</f>
        <v>75654.064500000008</v>
      </c>
      <c r="E31" s="431">
        <f>93366.81*1.05</f>
        <v>98035.150500000003</v>
      </c>
      <c r="F31" s="287">
        <f t="shared" si="0"/>
        <v>52501.085704371966</v>
      </c>
      <c r="G31" s="287">
        <f t="shared" si="1"/>
        <v>68032.720680083279</v>
      </c>
      <c r="H31" s="431">
        <f>72051.49*1.05</f>
        <v>75654.064500000008</v>
      </c>
      <c r="I31" s="431">
        <f>93366.81*1.05</f>
        <v>98035.150500000003</v>
      </c>
      <c r="J31" s="287">
        <f t="shared" si="2"/>
        <v>52501.085704371966</v>
      </c>
      <c r="K31" s="287">
        <f t="shared" si="3"/>
        <v>68032.720680083279</v>
      </c>
    </row>
    <row r="32" spans="1:11" ht="15" customHeight="1" x14ac:dyDescent="0.25">
      <c r="A32" s="124"/>
      <c r="B32" s="269">
        <v>20</v>
      </c>
      <c r="C32" s="269">
        <v>1739</v>
      </c>
      <c r="D32" s="431">
        <f>82206.53*1.05</f>
        <v>86316.856500000009</v>
      </c>
      <c r="E32" s="431">
        <f>106501.8*1.05</f>
        <v>111826.89000000001</v>
      </c>
      <c r="F32" s="287">
        <f t="shared" si="0"/>
        <v>49635.915181138596</v>
      </c>
      <c r="G32" s="287">
        <f t="shared" si="1"/>
        <v>64305.284646348482</v>
      </c>
      <c r="H32" s="431">
        <f>82206.53*1.05</f>
        <v>86316.856500000009</v>
      </c>
      <c r="I32" s="431">
        <f>106501.8*1.05</f>
        <v>111826.89000000001</v>
      </c>
      <c r="J32" s="287">
        <f t="shared" si="2"/>
        <v>49635.915181138596</v>
      </c>
      <c r="K32" s="287">
        <f t="shared" si="3"/>
        <v>64305.284646348482</v>
      </c>
    </row>
    <row r="33" spans="1:11" ht="15" customHeight="1" x14ac:dyDescent="0.25">
      <c r="A33" s="124"/>
      <c r="B33" s="269">
        <v>22</v>
      </c>
      <c r="C33" s="269">
        <v>2065</v>
      </c>
      <c r="D33" s="431">
        <f>101300.93*1.05</f>
        <v>106365.9765</v>
      </c>
      <c r="E33" s="431">
        <f>131205.89*1.05</f>
        <v>137766.18450000003</v>
      </c>
      <c r="F33" s="287">
        <f t="shared" si="0"/>
        <v>51508.947457627124</v>
      </c>
      <c r="G33" s="287">
        <f t="shared" si="1"/>
        <v>66714.85932203391</v>
      </c>
      <c r="H33" s="431">
        <f>101300.93*1.05</f>
        <v>106365.9765</v>
      </c>
      <c r="I33" s="431">
        <f>131205.89*1.05</f>
        <v>137766.18450000003</v>
      </c>
      <c r="J33" s="287">
        <f t="shared" si="2"/>
        <v>51508.947457627124</v>
      </c>
      <c r="K33" s="287">
        <f t="shared" si="3"/>
        <v>66714.85932203391</v>
      </c>
    </row>
    <row r="34" spans="1:11" ht="15" customHeight="1" x14ac:dyDescent="0.25">
      <c r="A34" s="124"/>
      <c r="B34" s="269">
        <v>24</v>
      </c>
      <c r="C34" s="269">
        <v>2420</v>
      </c>
      <c r="D34" s="431">
        <f>113475.09*1.05</f>
        <v>119148.84450000001</v>
      </c>
      <c r="E34" s="431">
        <f>147016.87*1.05</f>
        <v>154367.71350000001</v>
      </c>
      <c r="F34" s="287">
        <f t="shared" si="0"/>
        <v>49235.059710743808</v>
      </c>
      <c r="G34" s="287">
        <f t="shared" si="1"/>
        <v>63788.311363636371</v>
      </c>
      <c r="H34" s="431">
        <f>113475.09*1.05</f>
        <v>119148.84450000001</v>
      </c>
      <c r="I34" s="431">
        <f>147016.87*1.05</f>
        <v>154367.71350000001</v>
      </c>
      <c r="J34" s="287">
        <f t="shared" si="2"/>
        <v>49235.059710743808</v>
      </c>
      <c r="K34" s="287">
        <f t="shared" si="3"/>
        <v>63788.311363636371</v>
      </c>
    </row>
    <row r="35" spans="1:11" ht="15" customHeight="1" x14ac:dyDescent="0.25">
      <c r="A35" s="124"/>
      <c r="B35" s="269">
        <v>26</v>
      </c>
      <c r="C35" s="269">
        <v>2800</v>
      </c>
      <c r="D35" s="431">
        <f>130615.46*1.05</f>
        <v>137146.23300000001</v>
      </c>
      <c r="E35" s="431">
        <f>169184.65*1.05</f>
        <v>177643.88250000001</v>
      </c>
      <c r="F35" s="287">
        <f t="shared" si="0"/>
        <v>48980.797500000001</v>
      </c>
      <c r="G35" s="287">
        <f t="shared" si="1"/>
        <v>63444.243750000009</v>
      </c>
      <c r="H35" s="431">
        <f>130615.46*1.05</f>
        <v>137146.23300000001</v>
      </c>
      <c r="I35" s="431">
        <f>169184.65*1.05</f>
        <v>177643.88250000001</v>
      </c>
      <c r="J35" s="287">
        <f t="shared" si="2"/>
        <v>48980.797500000001</v>
      </c>
      <c r="K35" s="287">
        <f t="shared" si="3"/>
        <v>63444.243750000009</v>
      </c>
    </row>
    <row r="36" spans="1:11" ht="15" customHeight="1" x14ac:dyDescent="0.25">
      <c r="A36" s="124"/>
      <c r="B36" s="269">
        <v>27.5</v>
      </c>
      <c r="C36" s="269">
        <v>3210</v>
      </c>
      <c r="D36" s="431">
        <f>149159.37*1.05</f>
        <v>156617.33850000001</v>
      </c>
      <c r="E36" s="431">
        <f>193106.46*1.05</f>
        <v>202761.783</v>
      </c>
      <c r="F36" s="287">
        <f t="shared" si="0"/>
        <v>48790.448130841127</v>
      </c>
      <c r="G36" s="287">
        <f t="shared" si="1"/>
        <v>63165.66448598131</v>
      </c>
      <c r="H36" s="431">
        <f>149159.37*1.05</f>
        <v>156617.33850000001</v>
      </c>
      <c r="I36" s="431">
        <f>193106.46*1.05</f>
        <v>202761.783</v>
      </c>
      <c r="J36" s="287">
        <f t="shared" si="2"/>
        <v>48790.448130841127</v>
      </c>
      <c r="K36" s="287">
        <f t="shared" si="3"/>
        <v>63165.66448598131</v>
      </c>
    </row>
    <row r="37" spans="1:11" ht="7.2" customHeight="1" x14ac:dyDescent="0.25">
      <c r="A37" s="159"/>
      <c r="B37" s="20"/>
      <c r="C37" s="20"/>
      <c r="D37" s="21"/>
      <c r="E37" s="21"/>
      <c r="F37" s="21"/>
      <c r="G37" s="21"/>
      <c r="H37" s="24"/>
    </row>
    <row r="38" spans="1:11" x14ac:dyDescent="0.25">
      <c r="A38" s="159"/>
      <c r="F38" s="13"/>
      <c r="G38" s="29">
        <v>41091</v>
      </c>
      <c r="H38" s="24"/>
    </row>
    <row r="39" spans="1:11" x14ac:dyDescent="0.25">
      <c r="A39" s="159"/>
      <c r="B39" s="594" t="s">
        <v>121</v>
      </c>
      <c r="C39" s="595"/>
      <c r="D39" s="595"/>
      <c r="E39" s="602"/>
      <c r="F39" s="568" t="s">
        <v>743</v>
      </c>
      <c r="G39" s="568"/>
      <c r="H39" s="24"/>
    </row>
    <row r="40" spans="1:11" x14ac:dyDescent="0.25">
      <c r="A40" s="159"/>
      <c r="B40" s="600" t="s">
        <v>130</v>
      </c>
      <c r="C40" s="601"/>
      <c r="D40" s="601"/>
      <c r="E40" s="603"/>
      <c r="F40" s="568"/>
      <c r="G40" s="568"/>
      <c r="H40" s="24"/>
    </row>
    <row r="41" spans="1:11" ht="28.2" customHeight="1" x14ac:dyDescent="0.25">
      <c r="A41" s="159"/>
      <c r="B41" s="565" t="s">
        <v>104</v>
      </c>
      <c r="C41" s="565" t="s">
        <v>119</v>
      </c>
      <c r="D41" s="565" t="s">
        <v>501</v>
      </c>
      <c r="E41" s="565"/>
      <c r="F41" s="565" t="s">
        <v>500</v>
      </c>
      <c r="G41" s="565"/>
      <c r="H41" s="24"/>
    </row>
    <row r="42" spans="1:11" ht="18.75" customHeight="1" x14ac:dyDescent="0.25">
      <c r="A42" s="159"/>
      <c r="B42" s="565"/>
      <c r="C42" s="565"/>
      <c r="D42" s="475" t="s">
        <v>120</v>
      </c>
      <c r="E42" s="475" t="s">
        <v>264</v>
      </c>
      <c r="F42" s="475" t="s">
        <v>120</v>
      </c>
      <c r="G42" s="475" t="s">
        <v>264</v>
      </c>
      <c r="H42" s="24"/>
    </row>
    <row r="43" spans="1:11" ht="13.2" customHeight="1" x14ac:dyDescent="0.25">
      <c r="A43" s="124"/>
      <c r="B43" s="473">
        <v>3.1</v>
      </c>
      <c r="C43" s="269">
        <v>37.799999999999997</v>
      </c>
      <c r="D43" s="431">
        <f>10120.57*1.05</f>
        <v>10626.5985</v>
      </c>
      <c r="E43" s="431">
        <f>13102.82*1.05</f>
        <v>13757.961000000001</v>
      </c>
      <c r="F43" s="287">
        <f t="shared" ref="F43:F61" si="4">D43/C43*1000</f>
        <v>281126.94444444444</v>
      </c>
      <c r="G43" s="287">
        <f t="shared" ref="G43:G61" si="5">E43/C43*1000</f>
        <v>363967.22222222231</v>
      </c>
      <c r="H43" s="182"/>
    </row>
    <row r="44" spans="1:11" ht="13.2" customHeight="1" x14ac:dyDescent="0.25">
      <c r="A44" s="124"/>
      <c r="B44" s="473">
        <v>3.4</v>
      </c>
      <c r="C44" s="269">
        <v>45.7</v>
      </c>
      <c r="D44" s="431">
        <f>10202.49*1.05</f>
        <v>10712.6145</v>
      </c>
      <c r="E44" s="431">
        <f>13208.9*1.05</f>
        <v>13869.344999999999</v>
      </c>
      <c r="F44" s="287">
        <f t="shared" si="4"/>
        <v>234411.69584245075</v>
      </c>
      <c r="G44" s="287">
        <f t="shared" si="5"/>
        <v>303486.76148796495</v>
      </c>
      <c r="H44" s="182"/>
    </row>
    <row r="45" spans="1:11" x14ac:dyDescent="0.25">
      <c r="A45" s="124"/>
      <c r="B45" s="269">
        <v>3.7</v>
      </c>
      <c r="C45" s="269">
        <v>54.4</v>
      </c>
      <c r="D45" s="431">
        <f>10630.25*1.05</f>
        <v>11161.762500000001</v>
      </c>
      <c r="E45" s="431">
        <f>13762.71*1.05</f>
        <v>14450.845499999999</v>
      </c>
      <c r="F45" s="287">
        <f t="shared" si="4"/>
        <v>205179.45772058825</v>
      </c>
      <c r="G45" s="287">
        <f t="shared" si="5"/>
        <v>265640.54227941175</v>
      </c>
      <c r="H45" s="182"/>
    </row>
    <row r="46" spans="1:11" x14ac:dyDescent="0.25">
      <c r="A46" s="124"/>
      <c r="B46" s="269">
        <v>4</v>
      </c>
      <c r="C46" s="269">
        <v>63.9</v>
      </c>
      <c r="D46" s="431">
        <f>11190.91*1.05</f>
        <v>11750.4555</v>
      </c>
      <c r="E46" s="431">
        <f>14488.57*1.05</f>
        <v>15212.9985</v>
      </c>
      <c r="F46" s="287">
        <f t="shared" si="4"/>
        <v>183888.19248826292</v>
      </c>
      <c r="G46" s="287">
        <f t="shared" si="5"/>
        <v>238075.0938967136</v>
      </c>
      <c r="H46" s="182"/>
    </row>
    <row r="47" spans="1:11" x14ac:dyDescent="0.25">
      <c r="A47" s="124"/>
      <c r="B47" s="269">
        <v>4.3</v>
      </c>
      <c r="C47" s="269">
        <v>74.099999999999994</v>
      </c>
      <c r="D47" s="431">
        <f>10987.33*1.05</f>
        <v>11536.6965</v>
      </c>
      <c r="E47" s="431">
        <f>14225*1.05</f>
        <v>14936.25</v>
      </c>
      <c r="F47" s="287">
        <f t="shared" si="4"/>
        <v>155690.91093117409</v>
      </c>
      <c r="G47" s="287">
        <f t="shared" si="5"/>
        <v>201568.82591093119</v>
      </c>
      <c r="H47" s="182"/>
    </row>
    <row r="48" spans="1:11" x14ac:dyDescent="0.25">
      <c r="A48" s="124"/>
      <c r="B48" s="269">
        <v>4.5999999999999996</v>
      </c>
      <c r="C48" s="269">
        <v>85</v>
      </c>
      <c r="D48" s="431">
        <f>11254.59*1.05</f>
        <v>11817.319500000001</v>
      </c>
      <c r="E48" s="431">
        <f>14571.05*1.05</f>
        <v>15299.602499999999</v>
      </c>
      <c r="F48" s="287">
        <f t="shared" si="4"/>
        <v>139027.28823529411</v>
      </c>
      <c r="G48" s="287">
        <f t="shared" si="5"/>
        <v>179995.32352941178</v>
      </c>
      <c r="H48" s="182"/>
    </row>
    <row r="49" spans="1:8" x14ac:dyDescent="0.25">
      <c r="A49" s="124"/>
      <c r="B49" s="269">
        <v>5.2</v>
      </c>
      <c r="C49" s="269">
        <v>109</v>
      </c>
      <c r="D49" s="431">
        <f>12569.68*1.05</f>
        <v>13198.164000000001</v>
      </c>
      <c r="E49" s="431">
        <f>16273.64*1.05</f>
        <v>17087.322</v>
      </c>
      <c r="F49" s="287">
        <f t="shared" si="4"/>
        <v>121084.07339449543</v>
      </c>
      <c r="G49" s="287">
        <f t="shared" si="5"/>
        <v>156764.42201834862</v>
      </c>
      <c r="H49" s="182"/>
    </row>
    <row r="50" spans="1:8" x14ac:dyDescent="0.25">
      <c r="A50" s="124"/>
      <c r="B50" s="269">
        <v>5.8</v>
      </c>
      <c r="C50" s="269">
        <v>136.5</v>
      </c>
      <c r="D50" s="431">
        <f>14725.06*1.05</f>
        <v>15461.313</v>
      </c>
      <c r="E50" s="431">
        <f>19064.16*1.05</f>
        <v>20017.368000000002</v>
      </c>
      <c r="F50" s="287">
        <f t="shared" si="4"/>
        <v>113269.69230769231</v>
      </c>
      <c r="G50" s="287">
        <f t="shared" si="5"/>
        <v>146647.38461538462</v>
      </c>
      <c r="H50" s="182"/>
    </row>
    <row r="51" spans="1:8" x14ac:dyDescent="0.25">
      <c r="A51" s="124"/>
      <c r="B51" s="269">
        <v>6.2</v>
      </c>
      <c r="C51" s="269">
        <v>152</v>
      </c>
      <c r="D51" s="431">
        <f>14912.62*1.05</f>
        <v>15658.251000000002</v>
      </c>
      <c r="E51" s="431">
        <f>19306.97*1.05</f>
        <v>20272.318500000001</v>
      </c>
      <c r="F51" s="287">
        <f t="shared" si="4"/>
        <v>103014.80921052632</v>
      </c>
      <c r="G51" s="287">
        <f t="shared" si="5"/>
        <v>133370.51644736843</v>
      </c>
      <c r="H51" s="182"/>
    </row>
    <row r="52" spans="1:8" x14ac:dyDescent="0.25">
      <c r="A52" s="124"/>
      <c r="B52" s="269">
        <v>7.6</v>
      </c>
      <c r="C52" s="269">
        <v>237</v>
      </c>
      <c r="D52" s="431">
        <f>19980.5*1.05</f>
        <v>20979.525000000001</v>
      </c>
      <c r="E52" s="431">
        <f>25868.21*1.05</f>
        <v>27161.620500000001</v>
      </c>
      <c r="F52" s="287">
        <f t="shared" si="4"/>
        <v>88521.202531645569</v>
      </c>
      <c r="G52" s="287">
        <f t="shared" si="5"/>
        <v>114605.99367088608</v>
      </c>
      <c r="H52" s="182"/>
    </row>
    <row r="53" spans="1:8" x14ac:dyDescent="0.25">
      <c r="A53" s="124"/>
      <c r="B53" s="269">
        <v>8.4</v>
      </c>
      <c r="C53" s="269">
        <v>286.5</v>
      </c>
      <c r="D53" s="431">
        <f>21283.8*1.05</f>
        <v>22347.99</v>
      </c>
      <c r="E53" s="431">
        <f>27555.59*1.05</f>
        <v>28933.369500000001</v>
      </c>
      <c r="F53" s="287">
        <f t="shared" si="4"/>
        <v>78003.455497382209</v>
      </c>
      <c r="G53" s="287">
        <f t="shared" si="5"/>
        <v>100989.07329842931</v>
      </c>
      <c r="H53" s="182"/>
    </row>
    <row r="54" spans="1:8" x14ac:dyDescent="0.25">
      <c r="A54" s="124"/>
      <c r="B54" s="269">
        <v>9.1999999999999993</v>
      </c>
      <c r="C54" s="269">
        <v>340.5</v>
      </c>
      <c r="D54" s="431">
        <f>23318.25*1.05</f>
        <v>24484.162500000002</v>
      </c>
      <c r="E54" s="431">
        <f>30189.54*1.05</f>
        <v>31699.017000000003</v>
      </c>
      <c r="F54" s="287">
        <f t="shared" si="4"/>
        <v>71906.497797356831</v>
      </c>
      <c r="G54" s="287">
        <f t="shared" si="5"/>
        <v>93095.497797356846</v>
      </c>
      <c r="H54" s="182"/>
    </row>
    <row r="55" spans="1:8" x14ac:dyDescent="0.25">
      <c r="A55" s="124"/>
      <c r="B55" s="269">
        <v>9.9</v>
      </c>
      <c r="C55" s="269">
        <v>399.5</v>
      </c>
      <c r="D55" s="431">
        <f>26831.01*1.05</f>
        <v>28172.5605</v>
      </c>
      <c r="E55" s="431">
        <f>34737.36*1.05</f>
        <v>36474.228000000003</v>
      </c>
      <c r="F55" s="287">
        <f t="shared" si="4"/>
        <v>70519.550688360454</v>
      </c>
      <c r="G55" s="287">
        <f t="shared" si="5"/>
        <v>91299.694618272857</v>
      </c>
      <c r="H55" s="182"/>
    </row>
    <row r="56" spans="1:8" x14ac:dyDescent="0.25">
      <c r="A56" s="124"/>
      <c r="B56" s="269">
        <v>10.5</v>
      </c>
      <c r="C56" s="269">
        <v>465</v>
      </c>
      <c r="D56" s="431">
        <f>28646.44*1.05</f>
        <v>30078.761999999999</v>
      </c>
      <c r="E56" s="431">
        <f>37087.76*1.05</f>
        <v>38942.148000000001</v>
      </c>
      <c r="F56" s="287">
        <f t="shared" si="4"/>
        <v>64685.509677419344</v>
      </c>
      <c r="G56" s="287">
        <f t="shared" si="5"/>
        <v>83746.554838709679</v>
      </c>
      <c r="H56" s="182"/>
    </row>
    <row r="57" spans="1:8" x14ac:dyDescent="0.25">
      <c r="A57" s="124"/>
      <c r="B57" s="269">
        <v>12</v>
      </c>
      <c r="C57" s="269">
        <v>604</v>
      </c>
      <c r="D57" s="431">
        <f>36545.3*1.05</f>
        <v>38372.565000000002</v>
      </c>
      <c r="E57" s="431">
        <f>47314.22*1.05</f>
        <v>49679.931000000004</v>
      </c>
      <c r="F57" s="287">
        <f t="shared" si="4"/>
        <v>63530.736754966885</v>
      </c>
      <c r="G57" s="287">
        <f t="shared" si="5"/>
        <v>82251.541390728482</v>
      </c>
      <c r="H57" s="182"/>
    </row>
    <row r="58" spans="1:8" x14ac:dyDescent="0.25">
      <c r="A58" s="124"/>
      <c r="B58" s="269">
        <v>13.5</v>
      </c>
      <c r="C58" s="269">
        <v>763.5</v>
      </c>
      <c r="D58" s="431">
        <f>45759.38*1.05</f>
        <v>48047.349000000002</v>
      </c>
      <c r="E58" s="431">
        <f>59243.46*1.05</f>
        <v>62205.633000000002</v>
      </c>
      <c r="F58" s="287">
        <f t="shared" si="4"/>
        <v>62930.385068762283</v>
      </c>
      <c r="G58" s="287">
        <f t="shared" si="5"/>
        <v>81474.306483300592</v>
      </c>
      <c r="H58" s="182"/>
    </row>
    <row r="59" spans="1:8" x14ac:dyDescent="0.25">
      <c r="A59" s="124"/>
      <c r="B59" s="269">
        <v>15</v>
      </c>
      <c r="C59" s="269">
        <v>942</v>
      </c>
      <c r="D59" s="431">
        <f>53590.91*1.05</f>
        <v>56270.455500000004</v>
      </c>
      <c r="E59" s="431">
        <f>69382.69*1.05</f>
        <v>72851.824500000002</v>
      </c>
      <c r="F59" s="287">
        <f t="shared" si="4"/>
        <v>59735.090764331209</v>
      </c>
      <c r="G59" s="287">
        <f t="shared" si="5"/>
        <v>77337.393312101907</v>
      </c>
      <c r="H59" s="182"/>
    </row>
    <row r="60" spans="1:8" x14ac:dyDescent="0.25">
      <c r="A60" s="124"/>
      <c r="B60" s="269">
        <v>16.5</v>
      </c>
      <c r="C60" s="269">
        <v>1140</v>
      </c>
      <c r="D60" s="431">
        <f>62917.41*1.05</f>
        <v>66063.280500000008</v>
      </c>
      <c r="E60" s="431">
        <f>81480.98*1.05</f>
        <v>85555.028999999995</v>
      </c>
      <c r="F60" s="287">
        <f t="shared" si="4"/>
        <v>57950.246052631584</v>
      </c>
      <c r="G60" s="287">
        <f t="shared" si="5"/>
        <v>75048.271052631579</v>
      </c>
      <c r="H60" s="182"/>
    </row>
    <row r="61" spans="1:8" x14ac:dyDescent="0.25">
      <c r="A61" s="124"/>
      <c r="B61" s="269">
        <v>18.5</v>
      </c>
      <c r="C61" s="269">
        <v>1365</v>
      </c>
      <c r="D61" s="431">
        <f>74886.11*1.05</f>
        <v>78630.415500000003</v>
      </c>
      <c r="E61" s="431">
        <f>98971.14*1.05</f>
        <v>103919.697</v>
      </c>
      <c r="F61" s="287">
        <f t="shared" si="4"/>
        <v>57604.700000000004</v>
      </c>
      <c r="G61" s="287">
        <f t="shared" si="5"/>
        <v>76131.646153846144</v>
      </c>
      <c r="H61" s="182"/>
    </row>
    <row r="62" spans="1:8" ht="7.95" customHeight="1" x14ac:dyDescent="0.25">
      <c r="A62" s="125"/>
      <c r="H62" s="24"/>
    </row>
    <row r="63" spans="1:8" s="70" customFormat="1" x14ac:dyDescent="0.25">
      <c r="A63" s="125"/>
      <c r="B63" s="71" t="s">
        <v>418</v>
      </c>
      <c r="C63" s="71"/>
      <c r="D63" s="71"/>
      <c r="E63" s="71"/>
      <c r="F63" s="71"/>
      <c r="G63" s="29">
        <v>41091</v>
      </c>
      <c r="H63" s="24"/>
    </row>
    <row r="64" spans="1:8" s="70" customFormat="1" ht="13.2" customHeight="1" x14ac:dyDescent="0.25">
      <c r="A64" s="124"/>
      <c r="B64" s="627" t="s">
        <v>357</v>
      </c>
      <c r="C64" s="628"/>
      <c r="D64" s="628"/>
      <c r="E64" s="629"/>
      <c r="F64" s="568" t="s">
        <v>358</v>
      </c>
      <c r="G64" s="568"/>
      <c r="H64" s="24"/>
    </row>
    <row r="65" spans="1:8" s="70" customFormat="1" x14ac:dyDescent="0.25">
      <c r="A65" s="124"/>
      <c r="B65" s="630"/>
      <c r="C65" s="631"/>
      <c r="D65" s="631"/>
      <c r="E65" s="632"/>
      <c r="F65" s="568"/>
      <c r="G65" s="568"/>
      <c r="H65" s="24"/>
    </row>
    <row r="66" spans="1:8" s="70" customFormat="1" ht="13.2" customHeight="1" x14ac:dyDescent="0.25">
      <c r="A66" s="124"/>
      <c r="B66" s="565" t="s">
        <v>104</v>
      </c>
      <c r="C66" s="565" t="s">
        <v>359</v>
      </c>
      <c r="D66" s="565" t="s">
        <v>501</v>
      </c>
      <c r="E66" s="565"/>
      <c r="F66" s="565" t="s">
        <v>500</v>
      </c>
      <c r="G66" s="565"/>
      <c r="H66" s="24"/>
    </row>
    <row r="67" spans="1:8" s="70" customFormat="1" x14ac:dyDescent="0.25">
      <c r="A67" s="124"/>
      <c r="B67" s="565"/>
      <c r="C67" s="565"/>
      <c r="D67" s="475" t="s">
        <v>120</v>
      </c>
      <c r="E67" s="475" t="s">
        <v>264</v>
      </c>
      <c r="F67" s="475" t="s">
        <v>120</v>
      </c>
      <c r="G67" s="475" t="s">
        <v>264</v>
      </c>
      <c r="H67" s="24"/>
    </row>
    <row r="68" spans="1:8" s="70" customFormat="1" x14ac:dyDescent="0.25">
      <c r="A68" s="124"/>
      <c r="B68" s="291">
        <v>4.7</v>
      </c>
      <c r="C68" s="291">
        <v>87.7</v>
      </c>
      <c r="D68" s="431">
        <f>12863.58*1.05</f>
        <v>13506.759</v>
      </c>
      <c r="E68" s="431">
        <f>16659.2*1.05</f>
        <v>17492.16</v>
      </c>
      <c r="F68" s="287">
        <f t="shared" ref="F68:F76" si="6">D68/C68*1000</f>
        <v>154010.93500570123</v>
      </c>
      <c r="G68" s="287">
        <f t="shared" ref="G68:G76" si="7">E68/C68*1000</f>
        <v>199454.50399087797</v>
      </c>
      <c r="H68" s="182"/>
    </row>
    <row r="69" spans="1:8" s="70" customFormat="1" x14ac:dyDescent="0.25">
      <c r="A69" s="124"/>
      <c r="B69" s="291">
        <v>5.0999999999999996</v>
      </c>
      <c r="C69" s="291">
        <v>104.5</v>
      </c>
      <c r="D69" s="431">
        <f>14293.74*1.05</f>
        <v>15008.427</v>
      </c>
      <c r="E69" s="431">
        <f>18511.4*1.05</f>
        <v>19436.97</v>
      </c>
      <c r="F69" s="287">
        <f t="shared" si="6"/>
        <v>143621.31100478469</v>
      </c>
      <c r="G69" s="287">
        <f t="shared" si="7"/>
        <v>185999.71291866028</v>
      </c>
      <c r="H69" s="182"/>
    </row>
    <row r="70" spans="1:8" s="70" customFormat="1" x14ac:dyDescent="0.25">
      <c r="A70" s="124"/>
      <c r="B70" s="291">
        <v>5.9</v>
      </c>
      <c r="C70" s="291">
        <v>142.5</v>
      </c>
      <c r="D70" s="431">
        <f>16940.49*1.05</f>
        <v>17787.514500000001</v>
      </c>
      <c r="E70" s="431">
        <f>21931.43*1.05</f>
        <v>23028.001500000002</v>
      </c>
      <c r="F70" s="287">
        <f t="shared" si="6"/>
        <v>124824.66315789474</v>
      </c>
      <c r="G70" s="287">
        <f t="shared" si="7"/>
        <v>161600.0105263158</v>
      </c>
      <c r="H70" s="182"/>
    </row>
    <row r="71" spans="1:8" s="70" customFormat="1" x14ac:dyDescent="0.25">
      <c r="A71" s="124"/>
      <c r="B71" s="291">
        <v>6.4</v>
      </c>
      <c r="C71" s="291">
        <v>163</v>
      </c>
      <c r="D71" s="431">
        <f>18232.74*1.05</f>
        <v>19144.377000000004</v>
      </c>
      <c r="E71" s="431">
        <f>23621.41*1.05</f>
        <v>24802.480500000001</v>
      </c>
      <c r="F71" s="287">
        <f t="shared" si="6"/>
        <v>117450.16564417181</v>
      </c>
      <c r="G71" s="287">
        <f t="shared" si="7"/>
        <v>152162.45705521473</v>
      </c>
      <c r="H71" s="182"/>
    </row>
    <row r="72" spans="1:8" s="70" customFormat="1" x14ac:dyDescent="0.25">
      <c r="A72" s="124"/>
      <c r="B72" s="291">
        <v>7.2</v>
      </c>
      <c r="C72" s="291">
        <v>209.5</v>
      </c>
      <c r="D72" s="431">
        <f>21977.88*1.05</f>
        <v>23076.774000000001</v>
      </c>
      <c r="E72" s="431">
        <f>28466.04*1.05</f>
        <v>29889.342000000001</v>
      </c>
      <c r="F72" s="287">
        <f t="shared" si="6"/>
        <v>110151.66587112172</v>
      </c>
      <c r="G72" s="287">
        <f t="shared" si="7"/>
        <v>142669.89021479714</v>
      </c>
      <c r="H72" s="182"/>
    </row>
    <row r="73" spans="1:8" s="70" customFormat="1" x14ac:dyDescent="0.25">
      <c r="A73" s="124"/>
      <c r="B73" s="291">
        <v>8</v>
      </c>
      <c r="C73" s="291">
        <v>261.5</v>
      </c>
      <c r="D73" s="431">
        <f>26991.45*1.05</f>
        <v>28341.022500000003</v>
      </c>
      <c r="E73" s="431">
        <f>34974.63*1.05</f>
        <v>36723.361499999999</v>
      </c>
      <c r="F73" s="287">
        <f t="shared" si="6"/>
        <v>108378.67112810709</v>
      </c>
      <c r="G73" s="287">
        <f t="shared" si="7"/>
        <v>140433.50478011474</v>
      </c>
      <c r="H73" s="182"/>
    </row>
    <row r="74" spans="1:8" s="70" customFormat="1" x14ac:dyDescent="0.25">
      <c r="A74" s="124"/>
      <c r="B74" s="291">
        <v>8.6</v>
      </c>
      <c r="C74" s="291">
        <v>291</v>
      </c>
      <c r="D74" s="431">
        <f>27277.2*1.05</f>
        <v>28641.06</v>
      </c>
      <c r="E74" s="431">
        <f>35359.33*1.05</f>
        <v>37127.296500000004</v>
      </c>
      <c r="F74" s="287">
        <f t="shared" si="6"/>
        <v>98422.886597938152</v>
      </c>
      <c r="G74" s="287">
        <f t="shared" si="7"/>
        <v>127585.2113402062</v>
      </c>
      <c r="H74" s="182"/>
    </row>
    <row r="75" spans="1:8" s="70" customFormat="1" x14ac:dyDescent="0.25">
      <c r="A75" s="124"/>
      <c r="B75" s="291">
        <v>10.5</v>
      </c>
      <c r="C75" s="291">
        <v>454</v>
      </c>
      <c r="D75" s="431">
        <f>41124.89*1.05</f>
        <v>43181.1345</v>
      </c>
      <c r="E75" s="431">
        <f>53324.98*1.05</f>
        <v>55991.229000000007</v>
      </c>
      <c r="F75" s="287">
        <f t="shared" si="6"/>
        <v>95112.631057268722</v>
      </c>
      <c r="G75" s="287">
        <f t="shared" si="7"/>
        <v>123328.69823788547</v>
      </c>
      <c r="H75" s="182"/>
    </row>
    <row r="76" spans="1:8" s="70" customFormat="1" x14ac:dyDescent="0.25">
      <c r="A76" s="124"/>
      <c r="B76" s="291">
        <v>13</v>
      </c>
      <c r="C76" s="291">
        <v>652.5</v>
      </c>
      <c r="D76" s="431">
        <f>50352.21*1.05</f>
        <v>52869.820500000002</v>
      </c>
      <c r="E76" s="431">
        <f>65282.31*1.05</f>
        <v>68546.425499999998</v>
      </c>
      <c r="F76" s="287">
        <f t="shared" si="6"/>
        <v>81026.5448275862</v>
      </c>
      <c r="G76" s="287">
        <f t="shared" si="7"/>
        <v>105051.99310344827</v>
      </c>
      <c r="H76" s="182"/>
    </row>
    <row r="77" spans="1:8" s="70" customFormat="1" x14ac:dyDescent="0.25">
      <c r="A77" s="24"/>
      <c r="B77" s="81"/>
      <c r="C77" s="82"/>
      <c r="D77" s="82"/>
      <c r="E77" s="82"/>
      <c r="F77" s="82"/>
      <c r="G77" s="82"/>
      <c r="H77" s="24"/>
    </row>
  </sheetData>
  <mergeCells count="24">
    <mergeCell ref="D66:E66"/>
    <mergeCell ref="F66:G66"/>
    <mergeCell ref="B64:E65"/>
    <mergeCell ref="F64:G65"/>
    <mergeCell ref="B39:E39"/>
    <mergeCell ref="B66:B67"/>
    <mergeCell ref="C66:C67"/>
    <mergeCell ref="F39:G40"/>
    <mergeCell ref="F41:G41"/>
    <mergeCell ref="B40:E40"/>
    <mergeCell ref="B41:B42"/>
    <mergeCell ref="C41:C42"/>
    <mergeCell ref="D41:E41"/>
    <mergeCell ref="H5:I5"/>
    <mergeCell ref="J5:K5"/>
    <mergeCell ref="F5:G5"/>
    <mergeCell ref="J2:K3"/>
    <mergeCell ref="D4:G4"/>
    <mergeCell ref="H4:K4"/>
    <mergeCell ref="B2:I2"/>
    <mergeCell ref="B3:I3"/>
    <mergeCell ref="B5:B6"/>
    <mergeCell ref="C5:C6"/>
    <mergeCell ref="D5:E5"/>
  </mergeCells>
  <phoneticPr fontId="0" type="noConversion"/>
  <hyperlinks>
    <hyperlink ref="L1" location="'2'!A1" display="Оглавление"/>
  </hyperlinks>
  <printOptions horizontalCentered="1"/>
  <pageMargins left="0.78740157480314965" right="0.78740157480314965" top="0.39370078740157483" bottom="0.23622047244094491" header="0.15748031496062992" footer="0.23622047244094491"/>
  <pageSetup paperSize="9" scale="67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N74"/>
  <sheetViews>
    <sheetView view="pageBreakPreview" zoomScale="85" zoomScaleNormal="75" workbookViewId="0"/>
  </sheetViews>
  <sheetFormatPr defaultColWidth="8.88671875" defaultRowHeight="13.2" x14ac:dyDescent="0.25"/>
  <cols>
    <col min="1" max="1" width="8.88671875" style="24"/>
    <col min="2" max="2" width="11.6640625" style="10" customWidth="1"/>
    <col min="3" max="3" width="21.6640625" style="10" customWidth="1"/>
    <col min="4" max="11" width="12.33203125" style="10" customWidth="1"/>
    <col min="12" max="12" width="9.5546875" style="10" bestFit="1" customWidth="1"/>
    <col min="13" max="13" width="10" style="10" bestFit="1" customWidth="1"/>
    <col min="14" max="16384" width="8.88671875" style="10"/>
  </cols>
  <sheetData>
    <row r="1" spans="1:14" x14ac:dyDescent="0.25">
      <c r="G1" s="29">
        <v>41000</v>
      </c>
      <c r="L1" s="54" t="s">
        <v>466</v>
      </c>
    </row>
    <row r="2" spans="1:14" x14ac:dyDescent="0.25">
      <c r="B2" s="594" t="s">
        <v>132</v>
      </c>
      <c r="C2" s="595"/>
      <c r="D2" s="595"/>
      <c r="E2" s="602"/>
      <c r="F2" s="568" t="s">
        <v>131</v>
      </c>
      <c r="G2" s="568"/>
      <c r="H2" s="24"/>
    </row>
    <row r="3" spans="1:14" x14ac:dyDescent="0.25">
      <c r="B3" s="600" t="s">
        <v>133</v>
      </c>
      <c r="C3" s="601"/>
      <c r="D3" s="601"/>
      <c r="E3" s="603"/>
      <c r="F3" s="568"/>
      <c r="G3" s="568"/>
      <c r="H3" s="24"/>
    </row>
    <row r="4" spans="1:14" ht="27" customHeight="1" x14ac:dyDescent="0.25">
      <c r="B4" s="565" t="s">
        <v>104</v>
      </c>
      <c r="C4" s="565" t="s">
        <v>119</v>
      </c>
      <c r="D4" s="565" t="s">
        <v>501</v>
      </c>
      <c r="E4" s="565"/>
      <c r="F4" s="565" t="s">
        <v>500</v>
      </c>
      <c r="G4" s="565"/>
      <c r="H4" s="24"/>
    </row>
    <row r="5" spans="1:14" x14ac:dyDescent="0.25">
      <c r="A5" s="124"/>
      <c r="B5" s="565"/>
      <c r="C5" s="565"/>
      <c r="D5" s="420" t="s">
        <v>120</v>
      </c>
      <c r="E5" s="420" t="s">
        <v>264</v>
      </c>
      <c r="F5" s="420" t="s">
        <v>120</v>
      </c>
      <c r="G5" s="420" t="s">
        <v>264</v>
      </c>
      <c r="H5" s="24"/>
    </row>
    <row r="6" spans="1:14" ht="15" customHeight="1" x14ac:dyDescent="0.25">
      <c r="A6" s="161"/>
      <c r="B6" s="269">
        <v>2.2000000000000002</v>
      </c>
      <c r="C6" s="269">
        <v>16.2</v>
      </c>
      <c r="D6" s="295">
        <f>5838.68*1.05</f>
        <v>6130.6140000000005</v>
      </c>
      <c r="E6" s="295">
        <f>7946.82*1.05</f>
        <v>8344.1610000000001</v>
      </c>
      <c r="F6" s="287">
        <f t="shared" ref="F6:F33" si="0">D6/C6*1000</f>
        <v>378432.96296296304</v>
      </c>
      <c r="G6" s="287">
        <f t="shared" ref="G6:G33" si="1">E6/C6*1000</f>
        <v>515071.66666666674</v>
      </c>
      <c r="H6" s="24"/>
      <c r="I6" s="24"/>
      <c r="J6" s="24"/>
      <c r="K6" s="24"/>
      <c r="L6" s="24"/>
      <c r="M6" s="24"/>
      <c r="N6" s="24"/>
    </row>
    <row r="7" spans="1:14" ht="15" customHeight="1" x14ac:dyDescent="0.25">
      <c r="B7" s="269">
        <v>2.2999999999999998</v>
      </c>
      <c r="C7" s="269">
        <v>19.100000000000001</v>
      </c>
      <c r="D7" s="295">
        <f>5991.86*1.05</f>
        <v>6291.4529999999995</v>
      </c>
      <c r="E7" s="295">
        <f>8189.46*1.05</f>
        <v>8598.9330000000009</v>
      </c>
      <c r="F7" s="287">
        <f t="shared" si="0"/>
        <v>329395.44502617797</v>
      </c>
      <c r="G7" s="287">
        <f t="shared" si="1"/>
        <v>450205.91623036651</v>
      </c>
      <c r="H7" s="24"/>
      <c r="I7" s="24"/>
      <c r="J7" s="24"/>
      <c r="K7" s="24"/>
      <c r="L7" s="24"/>
      <c r="M7" s="24"/>
      <c r="N7" s="24"/>
    </row>
    <row r="8" spans="1:14" ht="15" customHeight="1" x14ac:dyDescent="0.25">
      <c r="A8" s="161"/>
      <c r="B8" s="269">
        <v>2.5</v>
      </c>
      <c r="C8" s="269">
        <v>22.4</v>
      </c>
      <c r="D8" s="295">
        <f>6142.12*1.05</f>
        <v>6449.2260000000006</v>
      </c>
      <c r="E8" s="295">
        <f>8353.31*1.05</f>
        <v>8770.9755000000005</v>
      </c>
      <c r="F8" s="287">
        <f t="shared" si="0"/>
        <v>287911.87500000006</v>
      </c>
      <c r="G8" s="287">
        <f t="shared" si="1"/>
        <v>391561.40625000006</v>
      </c>
      <c r="H8" s="24"/>
      <c r="I8" s="24"/>
      <c r="J8" s="24"/>
      <c r="K8" s="24"/>
      <c r="L8" s="24"/>
      <c r="M8" s="24"/>
      <c r="N8" s="24"/>
    </row>
    <row r="9" spans="1:14" ht="15" customHeight="1" x14ac:dyDescent="0.25">
      <c r="A9" s="161"/>
      <c r="B9" s="269">
        <v>2.7</v>
      </c>
      <c r="C9" s="269">
        <v>26</v>
      </c>
      <c r="D9" s="295">
        <f>6292.36*1.05</f>
        <v>6606.9780000000001</v>
      </c>
      <c r="E9" s="295">
        <f>8595.94*1.05</f>
        <v>9025.737000000001</v>
      </c>
      <c r="F9" s="287">
        <f t="shared" si="0"/>
        <v>254114.53846153847</v>
      </c>
      <c r="G9" s="287">
        <f t="shared" si="1"/>
        <v>347143.73076923081</v>
      </c>
      <c r="H9" s="24"/>
      <c r="I9" s="24"/>
      <c r="J9" s="24"/>
      <c r="K9" s="24"/>
      <c r="L9" s="24"/>
      <c r="M9" s="24"/>
      <c r="N9" s="24"/>
    </row>
    <row r="10" spans="1:14" ht="15" customHeight="1" x14ac:dyDescent="0.25">
      <c r="A10" s="161"/>
      <c r="B10" s="269">
        <v>2.9</v>
      </c>
      <c r="C10" s="269">
        <v>29.8</v>
      </c>
      <c r="D10" s="295">
        <f>6483.82*1.05</f>
        <v>6808.0110000000004</v>
      </c>
      <c r="E10" s="295">
        <f>8841.71*1.05</f>
        <v>9283.7955000000002</v>
      </c>
      <c r="F10" s="287">
        <f t="shared" si="0"/>
        <v>228456.74496644296</v>
      </c>
      <c r="G10" s="287">
        <f t="shared" si="1"/>
        <v>311536.76174496644</v>
      </c>
      <c r="H10" s="24"/>
      <c r="I10" s="24"/>
      <c r="J10" s="24"/>
      <c r="K10" s="24"/>
      <c r="L10" s="24"/>
      <c r="M10" s="24"/>
      <c r="N10" s="24"/>
    </row>
    <row r="11" spans="1:14" ht="15" customHeight="1" x14ac:dyDescent="0.25">
      <c r="A11" s="161"/>
      <c r="B11" s="269">
        <v>3.3</v>
      </c>
      <c r="C11" s="269">
        <v>38.200000000000003</v>
      </c>
      <c r="D11" s="295">
        <f>6863.86*1.05</f>
        <v>7207.0529999999999</v>
      </c>
      <c r="E11" s="295">
        <f>9367.92*1.05</f>
        <v>9836.3160000000007</v>
      </c>
      <c r="F11" s="287">
        <f t="shared" si="0"/>
        <v>188666.30890052355</v>
      </c>
      <c r="G11" s="287">
        <f t="shared" si="1"/>
        <v>257495.18324607328</v>
      </c>
      <c r="H11" s="24"/>
      <c r="I11" s="24"/>
      <c r="J11" s="24"/>
      <c r="K11" s="24"/>
      <c r="L11" s="24"/>
      <c r="M11" s="24"/>
      <c r="N11" s="24"/>
    </row>
    <row r="12" spans="1:14" ht="15" customHeight="1" x14ac:dyDescent="0.25">
      <c r="A12" s="161"/>
      <c r="B12" s="269">
        <v>3.7</v>
      </c>
      <c r="C12" s="269">
        <v>47.7</v>
      </c>
      <c r="D12" s="295">
        <f>7243.87*1.05</f>
        <v>7606.0635000000002</v>
      </c>
      <c r="E12" s="295">
        <f>10017.02*1.05</f>
        <v>10517.871000000001</v>
      </c>
      <c r="F12" s="287">
        <f t="shared" si="0"/>
        <v>159456.25786163521</v>
      </c>
      <c r="G12" s="287">
        <f t="shared" si="1"/>
        <v>220500.44025157235</v>
      </c>
      <c r="H12" s="24"/>
      <c r="I12" s="24"/>
      <c r="J12" s="24"/>
      <c r="K12" s="24"/>
      <c r="L12" s="24"/>
      <c r="M12" s="24"/>
      <c r="N12" s="24"/>
    </row>
    <row r="13" spans="1:14" ht="15" customHeight="1" x14ac:dyDescent="0.25">
      <c r="A13" s="161"/>
      <c r="B13" s="269">
        <v>4</v>
      </c>
      <c r="C13" s="269">
        <v>54</v>
      </c>
      <c r="D13" s="295">
        <f>7509*1.05</f>
        <v>7884.4500000000007</v>
      </c>
      <c r="E13" s="295">
        <f>10423.51*1.05</f>
        <v>10944.685500000001</v>
      </c>
      <c r="F13" s="287">
        <f t="shared" si="0"/>
        <v>146008.33333333334</v>
      </c>
      <c r="G13" s="287">
        <f t="shared" si="1"/>
        <v>202679.36111111115</v>
      </c>
      <c r="H13" s="24"/>
      <c r="I13" s="24"/>
      <c r="J13" s="24"/>
      <c r="K13" s="24"/>
      <c r="L13" s="24"/>
      <c r="M13" s="24"/>
      <c r="N13" s="24"/>
    </row>
    <row r="14" spans="1:14" ht="15" customHeight="1" x14ac:dyDescent="0.25">
      <c r="A14" s="161"/>
      <c r="B14" s="269">
        <v>4.9000000000000004</v>
      </c>
      <c r="C14" s="269">
        <v>83.7</v>
      </c>
      <c r="D14" s="295">
        <f>8553.65*1.05</f>
        <v>8981.3325000000004</v>
      </c>
      <c r="E14" s="295">
        <f>12046.27*1.05</f>
        <v>12648.583500000001</v>
      </c>
      <c r="F14" s="287">
        <f t="shared" si="0"/>
        <v>107303.85304659497</v>
      </c>
      <c r="G14" s="287">
        <f t="shared" si="1"/>
        <v>151118.082437276</v>
      </c>
      <c r="H14" s="24"/>
      <c r="I14" s="24"/>
      <c r="J14" s="24"/>
      <c r="K14" s="24"/>
      <c r="L14" s="24"/>
      <c r="M14" s="24"/>
      <c r="N14" s="24"/>
    </row>
    <row r="15" spans="1:14" ht="15" customHeight="1" x14ac:dyDescent="0.25">
      <c r="B15" s="269">
        <v>5.9</v>
      </c>
      <c r="C15" s="269">
        <v>120</v>
      </c>
      <c r="D15" s="295">
        <f>10177.93*1.05</f>
        <v>10686.826500000001</v>
      </c>
      <c r="E15" s="295">
        <f>13176.46*1.05</f>
        <v>13835.282999999999</v>
      </c>
      <c r="F15" s="287">
        <f t="shared" si="0"/>
        <v>89056.887499999997</v>
      </c>
      <c r="G15" s="287">
        <f t="shared" si="1"/>
        <v>115294.02499999999</v>
      </c>
      <c r="H15" s="24"/>
      <c r="I15" s="24"/>
      <c r="J15" s="24"/>
      <c r="K15" s="24"/>
      <c r="L15" s="24"/>
      <c r="M15" s="24"/>
      <c r="N15" s="24"/>
    </row>
    <row r="16" spans="1:14" ht="15" customHeight="1" x14ac:dyDescent="0.25">
      <c r="A16" s="161"/>
      <c r="B16" s="269">
        <v>6.8</v>
      </c>
      <c r="C16" s="269">
        <v>162.5</v>
      </c>
      <c r="D16" s="295">
        <f>11747.88*1.05</f>
        <v>12335.273999999999</v>
      </c>
      <c r="E16" s="295">
        <f>15218.2*1.05</f>
        <v>15979.11</v>
      </c>
      <c r="F16" s="287">
        <f t="shared" si="0"/>
        <v>75909.37846153845</v>
      </c>
      <c r="G16" s="287">
        <f t="shared" si="1"/>
        <v>98332.984615384616</v>
      </c>
      <c r="H16" s="24"/>
      <c r="I16" s="24"/>
      <c r="J16" s="24"/>
      <c r="K16" s="24"/>
      <c r="L16" s="24"/>
      <c r="M16" s="24"/>
      <c r="N16" s="24"/>
    </row>
    <row r="17" spans="1:14" ht="15" customHeight="1" x14ac:dyDescent="0.25">
      <c r="A17" s="161"/>
      <c r="B17" s="269">
        <v>7.8</v>
      </c>
      <c r="C17" s="269">
        <v>212</v>
      </c>
      <c r="D17" s="295">
        <f>14745*1.05</f>
        <v>15482.25</v>
      </c>
      <c r="E17" s="295">
        <f>19092.87*1.05</f>
        <v>20047.513500000001</v>
      </c>
      <c r="F17" s="287">
        <f t="shared" si="0"/>
        <v>73029.481132075482</v>
      </c>
      <c r="G17" s="287">
        <f t="shared" si="1"/>
        <v>94563.742924528313</v>
      </c>
      <c r="H17" s="24"/>
      <c r="I17" s="24"/>
      <c r="J17" s="24"/>
      <c r="K17" s="24"/>
      <c r="L17" s="24"/>
      <c r="M17" s="24"/>
      <c r="N17" s="24"/>
    </row>
    <row r="18" spans="1:14" ht="15" customHeight="1" x14ac:dyDescent="0.25">
      <c r="A18" s="161"/>
      <c r="B18" s="269">
        <v>8.6999999999999993</v>
      </c>
      <c r="C18" s="269">
        <v>267.5</v>
      </c>
      <c r="D18" s="295">
        <f>16655.98*1.05</f>
        <v>17488.778999999999</v>
      </c>
      <c r="E18" s="295">
        <f>21573.3*1.05</f>
        <v>22651.965</v>
      </c>
      <c r="F18" s="287">
        <f t="shared" si="0"/>
        <v>65378.613084112148</v>
      </c>
      <c r="G18" s="287">
        <f t="shared" si="1"/>
        <v>84680.242990654209</v>
      </c>
      <c r="H18" s="24"/>
      <c r="I18" s="24"/>
      <c r="J18" s="24"/>
      <c r="K18" s="24"/>
      <c r="L18" s="24"/>
      <c r="M18" s="24"/>
      <c r="N18" s="24"/>
    </row>
    <row r="19" spans="1:14" ht="15" customHeight="1" x14ac:dyDescent="0.25">
      <c r="A19" s="161"/>
      <c r="B19" s="269">
        <v>9.6999999999999993</v>
      </c>
      <c r="C19" s="269">
        <v>335</v>
      </c>
      <c r="D19" s="295">
        <f>19179.98*1.05</f>
        <v>20138.978999999999</v>
      </c>
      <c r="E19" s="295">
        <f>24841.45*1.05</f>
        <v>26083.522500000003</v>
      </c>
      <c r="F19" s="287">
        <f t="shared" si="0"/>
        <v>60116.355223880593</v>
      </c>
      <c r="G19" s="287">
        <f t="shared" si="1"/>
        <v>77861.261194029867</v>
      </c>
      <c r="H19" s="24"/>
      <c r="I19" s="24"/>
      <c r="J19" s="24"/>
      <c r="K19" s="24"/>
      <c r="L19" s="24"/>
      <c r="M19" s="24"/>
      <c r="N19" s="24"/>
    </row>
    <row r="20" spans="1:14" ht="15" customHeight="1" x14ac:dyDescent="0.25">
      <c r="A20" s="161"/>
      <c r="B20" s="269">
        <v>10.5</v>
      </c>
      <c r="C20" s="269">
        <v>404</v>
      </c>
      <c r="D20" s="295">
        <f>21277.62*1.05</f>
        <v>22341.501</v>
      </c>
      <c r="E20" s="295">
        <f>27553.62*1.05</f>
        <v>28931.300999999999</v>
      </c>
      <c r="F20" s="287">
        <f t="shared" si="0"/>
        <v>55300.745049504956</v>
      </c>
      <c r="G20" s="287">
        <f t="shared" si="1"/>
        <v>71612.131188118816</v>
      </c>
      <c r="H20" s="24"/>
      <c r="I20" s="24"/>
      <c r="J20" s="24"/>
      <c r="K20" s="24"/>
      <c r="L20" s="24"/>
      <c r="M20" s="24"/>
      <c r="N20" s="24"/>
    </row>
    <row r="21" spans="1:14" ht="15" customHeight="1" x14ac:dyDescent="0.25">
      <c r="A21" s="161"/>
      <c r="B21" s="269">
        <v>11.5</v>
      </c>
      <c r="C21" s="269">
        <v>479</v>
      </c>
      <c r="D21" s="295">
        <f>24967.31*1.05</f>
        <v>26215.675500000001</v>
      </c>
      <c r="E21" s="295">
        <f>32339.88*1.05</f>
        <v>33956.874000000003</v>
      </c>
      <c r="F21" s="287">
        <f t="shared" si="0"/>
        <v>54730.011482254704</v>
      </c>
      <c r="G21" s="287">
        <f t="shared" si="1"/>
        <v>70891.177453027136</v>
      </c>
      <c r="H21" s="24"/>
      <c r="I21" s="24"/>
      <c r="J21" s="24"/>
      <c r="K21" s="24"/>
      <c r="L21" s="24"/>
      <c r="M21" s="24"/>
      <c r="N21" s="24"/>
    </row>
    <row r="22" spans="1:14" ht="15" customHeight="1" x14ac:dyDescent="0.25">
      <c r="A22" s="161"/>
      <c r="B22" s="269">
        <v>12.5</v>
      </c>
      <c r="C22" s="269">
        <v>562</v>
      </c>
      <c r="D22" s="295">
        <f>31488.8*1.05</f>
        <v>33063.24</v>
      </c>
      <c r="E22" s="295">
        <f>40766.66*1.05</f>
        <v>42804.993000000002</v>
      </c>
      <c r="F22" s="287">
        <f t="shared" si="0"/>
        <v>58831.387900355869</v>
      </c>
      <c r="G22" s="287">
        <f t="shared" si="1"/>
        <v>76165.467971530248</v>
      </c>
      <c r="H22" s="24"/>
      <c r="I22" s="24"/>
      <c r="J22" s="24"/>
      <c r="K22" s="24"/>
      <c r="L22" s="24"/>
      <c r="M22" s="24"/>
      <c r="N22" s="24"/>
    </row>
    <row r="23" spans="1:14" ht="15" customHeight="1" x14ac:dyDescent="0.25">
      <c r="A23" s="161"/>
      <c r="B23" s="269">
        <v>13.5</v>
      </c>
      <c r="C23" s="269">
        <v>650.5</v>
      </c>
      <c r="D23" s="295">
        <f>35683.37*1.05</f>
        <v>37467.538500000002</v>
      </c>
      <c r="E23" s="295">
        <f>46204.31*1.05</f>
        <v>48514.525499999996</v>
      </c>
      <c r="F23" s="287">
        <f t="shared" si="0"/>
        <v>57598.060722521142</v>
      </c>
      <c r="G23" s="287">
        <f t="shared" si="1"/>
        <v>74580.362029208292</v>
      </c>
      <c r="H23" s="24"/>
      <c r="I23" s="24"/>
      <c r="J23" s="24"/>
      <c r="K23" s="24"/>
      <c r="L23" s="24"/>
      <c r="M23" s="24"/>
      <c r="N23" s="24"/>
    </row>
    <row r="24" spans="1:14" ht="15" customHeight="1" x14ac:dyDescent="0.25">
      <c r="A24" s="161"/>
      <c r="B24" s="269">
        <v>14.5</v>
      </c>
      <c r="C24" s="269">
        <v>745.5</v>
      </c>
      <c r="D24" s="295">
        <f>42077.75*1.05</f>
        <v>44181.637500000004</v>
      </c>
      <c r="E24" s="295">
        <f>54484.78*1.05</f>
        <v>57209.019</v>
      </c>
      <c r="F24" s="287">
        <f t="shared" si="0"/>
        <v>59264.436619718319</v>
      </c>
      <c r="G24" s="287">
        <f t="shared" si="1"/>
        <v>76739.126760563377</v>
      </c>
      <c r="H24" s="24"/>
      <c r="I24" s="24"/>
      <c r="J24" s="24"/>
      <c r="K24" s="24"/>
      <c r="L24" s="24"/>
      <c r="M24" s="24"/>
      <c r="N24" s="24"/>
    </row>
    <row r="25" spans="1:14" ht="15" customHeight="1" x14ac:dyDescent="0.25">
      <c r="A25" s="161"/>
      <c r="B25" s="269">
        <v>15.5</v>
      </c>
      <c r="C25" s="269">
        <v>847.5</v>
      </c>
      <c r="D25" s="295">
        <f>47532.82*1.05</f>
        <v>49909.461000000003</v>
      </c>
      <c r="E25" s="295">
        <f>61552.77*1.05</f>
        <v>64630.408499999998</v>
      </c>
      <c r="F25" s="287">
        <f t="shared" si="0"/>
        <v>58890.219469026553</v>
      </c>
      <c r="G25" s="287">
        <f t="shared" si="1"/>
        <v>76260.069026548663</v>
      </c>
      <c r="H25" s="24"/>
      <c r="I25" s="24"/>
      <c r="J25" s="24"/>
      <c r="K25" s="24"/>
      <c r="L25" s="24"/>
      <c r="M25" s="24"/>
      <c r="N25" s="24"/>
    </row>
    <row r="26" spans="1:14" ht="15" customHeight="1" x14ac:dyDescent="0.25">
      <c r="A26" s="161"/>
      <c r="B26" s="269">
        <v>16.5</v>
      </c>
      <c r="C26" s="269">
        <v>955.5</v>
      </c>
      <c r="D26" s="295">
        <f>50340.98*1.05</f>
        <v>52858.029000000002</v>
      </c>
      <c r="E26" s="295">
        <f>65203.88*1.05</f>
        <v>68464.073999999993</v>
      </c>
      <c r="F26" s="287">
        <f t="shared" si="0"/>
        <v>55319.758241758245</v>
      </c>
      <c r="G26" s="287">
        <f t="shared" si="1"/>
        <v>71652.615384615376</v>
      </c>
      <c r="H26" s="24"/>
      <c r="I26" s="24"/>
      <c r="J26" s="24"/>
      <c r="K26" s="24"/>
      <c r="L26" s="24"/>
      <c r="M26" s="24"/>
      <c r="N26" s="24"/>
    </row>
    <row r="27" spans="1:14" ht="15" customHeight="1" x14ac:dyDescent="0.25">
      <c r="A27" s="161"/>
      <c r="B27" s="269">
        <v>17.5</v>
      </c>
      <c r="C27" s="269">
        <v>1070</v>
      </c>
      <c r="D27" s="295">
        <f>56967.74*1.05</f>
        <v>59816.127</v>
      </c>
      <c r="E27" s="295">
        <f>73798.94*1.05</f>
        <v>77488.887000000002</v>
      </c>
      <c r="F27" s="287">
        <f t="shared" si="0"/>
        <v>55902.922429906539</v>
      </c>
      <c r="G27" s="287">
        <f t="shared" si="1"/>
        <v>72419.520560747667</v>
      </c>
      <c r="H27" s="24"/>
      <c r="I27" s="24"/>
      <c r="J27" s="24"/>
      <c r="K27" s="24"/>
      <c r="L27" s="24"/>
      <c r="M27" s="24"/>
      <c r="N27" s="24"/>
    </row>
    <row r="28" spans="1:14" ht="15" customHeight="1" x14ac:dyDescent="0.25">
      <c r="A28" s="161"/>
      <c r="B28" s="269">
        <v>19.5</v>
      </c>
      <c r="C28" s="269">
        <v>1335</v>
      </c>
      <c r="D28" s="295">
        <f>69782.55*1.05</f>
        <v>73271.677500000005</v>
      </c>
      <c r="E28" s="295">
        <f>90390.76*1.05</f>
        <v>94910.297999999995</v>
      </c>
      <c r="F28" s="287">
        <f t="shared" si="0"/>
        <v>54885.151685393263</v>
      </c>
      <c r="G28" s="287">
        <f t="shared" si="1"/>
        <v>71093.856179775277</v>
      </c>
      <c r="H28" s="24"/>
      <c r="I28" s="24"/>
      <c r="J28" s="24"/>
      <c r="K28" s="24"/>
      <c r="L28" s="24"/>
      <c r="M28" s="24"/>
      <c r="N28" s="24"/>
    </row>
    <row r="29" spans="1:14" ht="15" customHeight="1" x14ac:dyDescent="0.25">
      <c r="A29" s="161"/>
      <c r="B29" s="269">
        <v>21</v>
      </c>
      <c r="C29" s="269">
        <v>1615</v>
      </c>
      <c r="D29" s="295">
        <f>77522.6*1.05</f>
        <v>81398.73000000001</v>
      </c>
      <c r="E29" s="295">
        <f>100421.59*1.05</f>
        <v>105442.6695</v>
      </c>
      <c r="F29" s="287">
        <f t="shared" si="0"/>
        <v>50401.690402476786</v>
      </c>
      <c r="G29" s="287">
        <f t="shared" si="1"/>
        <v>65289.578637770901</v>
      </c>
      <c r="H29" s="24"/>
      <c r="I29" s="24"/>
      <c r="J29" s="24"/>
      <c r="K29" s="24"/>
      <c r="L29" s="24"/>
      <c r="M29" s="24"/>
      <c r="N29" s="24"/>
    </row>
    <row r="30" spans="1:14" ht="15" customHeight="1" x14ac:dyDescent="0.25">
      <c r="A30" s="161"/>
      <c r="B30" s="269">
        <v>23</v>
      </c>
      <c r="C30" s="269">
        <v>1915</v>
      </c>
      <c r="D30" s="295">
        <f>91396.29*1.05</f>
        <v>95966.104500000001</v>
      </c>
      <c r="E30" s="295">
        <f>118396.59*1.05</f>
        <v>124316.4195</v>
      </c>
      <c r="F30" s="287">
        <f t="shared" si="0"/>
        <v>50112.848302872066</v>
      </c>
      <c r="G30" s="287">
        <f t="shared" si="1"/>
        <v>64917.190339425586</v>
      </c>
      <c r="H30" s="24"/>
      <c r="I30" s="24"/>
      <c r="J30" s="24"/>
      <c r="K30" s="24"/>
      <c r="L30" s="24"/>
      <c r="M30" s="24"/>
      <c r="N30" s="24"/>
    </row>
    <row r="31" spans="1:14" ht="15" customHeight="1" x14ac:dyDescent="0.25">
      <c r="A31" s="161"/>
      <c r="B31" s="269">
        <v>25.5</v>
      </c>
      <c r="C31" s="269">
        <v>2250</v>
      </c>
      <c r="D31" s="295">
        <f>114873.77*1.05</f>
        <v>120617.45850000001</v>
      </c>
      <c r="E31" s="295">
        <f>148744.76*1.05</f>
        <v>156181.99800000002</v>
      </c>
      <c r="F31" s="287">
        <f t="shared" si="0"/>
        <v>53607.759333333335</v>
      </c>
      <c r="G31" s="287">
        <f t="shared" si="1"/>
        <v>69414.221333333349</v>
      </c>
      <c r="H31" s="24"/>
      <c r="I31" s="24"/>
      <c r="J31" s="24"/>
      <c r="K31" s="24"/>
      <c r="L31" s="24"/>
      <c r="M31" s="24"/>
      <c r="N31" s="24"/>
    </row>
    <row r="32" spans="1:14" ht="15" customHeight="1" x14ac:dyDescent="0.25">
      <c r="A32" s="161"/>
      <c r="B32" s="269">
        <v>27</v>
      </c>
      <c r="C32" s="269">
        <v>2605</v>
      </c>
      <c r="D32" s="295">
        <f>116368.2*1.05</f>
        <v>122186.61</v>
      </c>
      <c r="E32" s="295">
        <f>150739.06*1.05</f>
        <v>158276.01300000001</v>
      </c>
      <c r="F32" s="287">
        <f t="shared" si="0"/>
        <v>46904.648752399233</v>
      </c>
      <c r="G32" s="287">
        <f t="shared" si="1"/>
        <v>60758.546257197697</v>
      </c>
      <c r="H32" s="24"/>
      <c r="I32" s="24"/>
      <c r="J32" s="24"/>
      <c r="K32" s="24"/>
      <c r="L32" s="24"/>
      <c r="M32" s="24"/>
      <c r="N32" s="24"/>
    </row>
    <row r="33" spans="1:14" ht="15" customHeight="1" x14ac:dyDescent="0.25">
      <c r="A33" s="161"/>
      <c r="B33" s="269">
        <v>29</v>
      </c>
      <c r="C33" s="269">
        <v>2985</v>
      </c>
      <c r="D33" s="295">
        <f>130686.72*1.05</f>
        <v>137221.05600000001</v>
      </c>
      <c r="E33" s="295">
        <f>169210.36*1.05</f>
        <v>177670.878</v>
      </c>
      <c r="F33" s="287">
        <f t="shared" si="0"/>
        <v>45970.203015075385</v>
      </c>
      <c r="G33" s="287">
        <f t="shared" si="1"/>
        <v>59521.232160804022</v>
      </c>
      <c r="H33" s="24"/>
      <c r="I33" s="24"/>
      <c r="J33" s="24"/>
      <c r="K33" s="24"/>
      <c r="L33" s="24"/>
      <c r="M33" s="24"/>
      <c r="N33" s="24"/>
    </row>
    <row r="34" spans="1:14" ht="15" customHeight="1" x14ac:dyDescent="0.25">
      <c r="A34" s="161"/>
      <c r="B34" s="20"/>
      <c r="C34" s="20"/>
      <c r="D34" s="21"/>
      <c r="E34" s="21"/>
      <c r="F34" s="21"/>
      <c r="G34" s="21"/>
      <c r="H34" s="24"/>
      <c r="I34" s="24"/>
      <c r="J34" s="24"/>
      <c r="K34" s="24"/>
      <c r="L34" s="24"/>
      <c r="M34" s="24"/>
      <c r="N34" s="24"/>
    </row>
    <row r="35" spans="1:14" ht="15" customHeight="1" x14ac:dyDescent="0.25">
      <c r="A35" s="161"/>
      <c r="F35" s="14"/>
      <c r="G35" s="29"/>
      <c r="H35" s="24"/>
      <c r="I35" s="24"/>
      <c r="J35" s="24"/>
      <c r="K35" s="29">
        <v>41000</v>
      </c>
      <c r="L35" s="24"/>
      <c r="M35" s="24"/>
      <c r="N35" s="24"/>
    </row>
    <row r="36" spans="1:14" x14ac:dyDescent="0.25">
      <c r="A36" s="161"/>
      <c r="B36" s="426" t="s">
        <v>263</v>
      </c>
      <c r="C36" s="427"/>
      <c r="D36" s="427"/>
      <c r="E36" s="427"/>
      <c r="F36" s="393"/>
      <c r="G36" s="393"/>
      <c r="H36" s="393"/>
      <c r="I36" s="421"/>
      <c r="J36" s="568" t="s">
        <v>134</v>
      </c>
      <c r="K36" s="568"/>
      <c r="L36" s="24"/>
      <c r="M36" s="24"/>
      <c r="N36" s="24"/>
    </row>
    <row r="37" spans="1:14" x14ac:dyDescent="0.25">
      <c r="A37" s="161"/>
      <c r="B37" s="428" t="s">
        <v>135</v>
      </c>
      <c r="C37" s="429"/>
      <c r="D37" s="429"/>
      <c r="E37" s="429"/>
      <c r="F37" s="394"/>
      <c r="G37" s="394"/>
      <c r="H37" s="394"/>
      <c r="I37" s="422"/>
      <c r="J37" s="568"/>
      <c r="K37" s="568"/>
      <c r="L37" s="24"/>
      <c r="M37" s="24"/>
      <c r="N37" s="24"/>
    </row>
    <row r="38" spans="1:14" x14ac:dyDescent="0.25">
      <c r="A38" s="161"/>
      <c r="B38" s="428"/>
      <c r="C38" s="429"/>
      <c r="D38" s="615" t="s">
        <v>723</v>
      </c>
      <c r="E38" s="616"/>
      <c r="F38" s="616"/>
      <c r="G38" s="617"/>
      <c r="H38" s="618" t="s">
        <v>796</v>
      </c>
      <c r="I38" s="619"/>
      <c r="J38" s="619"/>
      <c r="K38" s="620"/>
      <c r="L38" s="24"/>
      <c r="M38" s="24"/>
      <c r="N38" s="24"/>
    </row>
    <row r="39" spans="1:14" ht="29.4" customHeight="1" x14ac:dyDescent="0.25">
      <c r="A39" s="161"/>
      <c r="B39" s="565" t="s">
        <v>104</v>
      </c>
      <c r="C39" s="565" t="s">
        <v>119</v>
      </c>
      <c r="D39" s="565" t="s">
        <v>797</v>
      </c>
      <c r="E39" s="565"/>
      <c r="F39" s="565" t="s">
        <v>500</v>
      </c>
      <c r="G39" s="565"/>
      <c r="H39" s="565" t="s">
        <v>797</v>
      </c>
      <c r="I39" s="565"/>
      <c r="J39" s="565" t="s">
        <v>500</v>
      </c>
      <c r="K39" s="565"/>
      <c r="L39" s="24"/>
      <c r="M39" s="24"/>
      <c r="N39" s="24"/>
    </row>
    <row r="40" spans="1:14" x14ac:dyDescent="0.25">
      <c r="A40" s="161"/>
      <c r="B40" s="565"/>
      <c r="C40" s="565"/>
      <c r="D40" s="420" t="s">
        <v>120</v>
      </c>
      <c r="E40" s="420" t="s">
        <v>264</v>
      </c>
      <c r="F40" s="420" t="s">
        <v>120</v>
      </c>
      <c r="G40" s="420" t="s">
        <v>264</v>
      </c>
      <c r="H40" s="420" t="s">
        <v>120</v>
      </c>
      <c r="I40" s="420" t="s">
        <v>264</v>
      </c>
      <c r="J40" s="420" t="s">
        <v>120</v>
      </c>
      <c r="K40" s="420" t="s">
        <v>264</v>
      </c>
      <c r="L40" s="24"/>
      <c r="M40" s="24"/>
      <c r="N40" s="24"/>
    </row>
    <row r="41" spans="1:14" ht="15" customHeight="1" x14ac:dyDescent="0.25">
      <c r="A41" s="161"/>
      <c r="B41" s="269">
        <v>3.3</v>
      </c>
      <c r="C41" s="269">
        <v>35.5</v>
      </c>
      <c r="D41" s="295">
        <f>10842.53*1.05</f>
        <v>11384.656500000001</v>
      </c>
      <c r="E41" s="295">
        <f>15637.97*1.05</f>
        <v>16419.8685</v>
      </c>
      <c r="F41" s="287">
        <f t="shared" ref="F41:F52" si="2">D41/C41*1000</f>
        <v>320694.54929577466</v>
      </c>
      <c r="G41" s="287">
        <f t="shared" ref="G41:G52" si="3">E41/C41*1000</f>
        <v>462531.50704225351</v>
      </c>
      <c r="H41" s="295">
        <f>9510.99*1.05</f>
        <v>9986.5395000000008</v>
      </c>
      <c r="I41" s="295">
        <f>13717.52*1.05</f>
        <v>14403.396000000001</v>
      </c>
      <c r="J41" s="287">
        <f>H41/C41*1000</f>
        <v>281310.97183098592</v>
      </c>
      <c r="K41" s="287">
        <f>I41/C41*1000</f>
        <v>405729.46478873241</v>
      </c>
      <c r="L41" s="24"/>
      <c r="M41" s="24"/>
      <c r="N41" s="24"/>
    </row>
    <row r="42" spans="1:14" ht="15" customHeight="1" x14ac:dyDescent="0.25">
      <c r="A42" s="161"/>
      <c r="B42" s="269">
        <v>3.6</v>
      </c>
      <c r="C42" s="269">
        <v>42.9</v>
      </c>
      <c r="D42" s="295">
        <f>11311.89*1.05</f>
        <v>11877.4845</v>
      </c>
      <c r="E42" s="295">
        <f>16314.9*1.05</f>
        <v>17130.645</v>
      </c>
      <c r="F42" s="287">
        <f t="shared" si="2"/>
        <v>276864.44055944058</v>
      </c>
      <c r="G42" s="287">
        <f t="shared" si="3"/>
        <v>399315.73426573433</v>
      </c>
      <c r="H42" s="295">
        <f>9922.71*1.05</f>
        <v>10418.845499999999</v>
      </c>
      <c r="I42" s="295">
        <f>14311.32*1.05</f>
        <v>15026.886</v>
      </c>
      <c r="J42" s="287">
        <f t="shared" ref="J42:J52" si="4">H42/C42*1000</f>
        <v>242863.53146853147</v>
      </c>
      <c r="K42" s="287">
        <f t="shared" ref="K42:K52" si="5">I42/C42*1000</f>
        <v>350277.06293706299</v>
      </c>
      <c r="L42" s="24"/>
      <c r="M42" s="24"/>
      <c r="N42" s="24"/>
    </row>
    <row r="43" spans="1:14" ht="15" customHeight="1" x14ac:dyDescent="0.25">
      <c r="A43" s="161"/>
      <c r="B43" s="269">
        <v>3.9</v>
      </c>
      <c r="C43" s="269">
        <v>51</v>
      </c>
      <c r="D43" s="295">
        <f>11680.81*1.05</f>
        <v>12264.8505</v>
      </c>
      <c r="E43" s="295">
        <f>16847.02*1.05</f>
        <v>17689.371000000003</v>
      </c>
      <c r="F43" s="287">
        <f t="shared" si="2"/>
        <v>240487.26470588235</v>
      </c>
      <c r="G43" s="287">
        <f t="shared" si="3"/>
        <v>346850.41176470596</v>
      </c>
      <c r="H43" s="295">
        <f>10246.32*1.05</f>
        <v>10758.636</v>
      </c>
      <c r="I43" s="295">
        <f>14778.09*1.05</f>
        <v>15516.994500000001</v>
      </c>
      <c r="J43" s="287">
        <f t="shared" si="4"/>
        <v>210953.64705882355</v>
      </c>
      <c r="K43" s="287">
        <f t="shared" si="5"/>
        <v>304254.79411764705</v>
      </c>
      <c r="L43" s="24"/>
      <c r="M43" s="24"/>
      <c r="N43" s="24"/>
    </row>
    <row r="44" spans="1:14" ht="15" customHeight="1" x14ac:dyDescent="0.25">
      <c r="A44" s="161"/>
      <c r="B44" s="269">
        <v>4.2</v>
      </c>
      <c r="C44" s="269">
        <v>59.8</v>
      </c>
      <c r="D44" s="295">
        <f>12057.48*1.05</f>
        <v>12660.353999999999</v>
      </c>
      <c r="E44" s="295">
        <f>17452.72*1.05</f>
        <v>18325.356000000003</v>
      </c>
      <c r="F44" s="287">
        <f t="shared" si="2"/>
        <v>211711.60535117055</v>
      </c>
      <c r="G44" s="287">
        <f t="shared" si="3"/>
        <v>306444.08026755863</v>
      </c>
      <c r="H44" s="295">
        <f>10576.73*1.05</f>
        <v>11105.566500000001</v>
      </c>
      <c r="I44" s="295">
        <f>15309.4*1.05</f>
        <v>16074.87</v>
      </c>
      <c r="J44" s="287">
        <f t="shared" si="4"/>
        <v>185711.81438127093</v>
      </c>
      <c r="K44" s="287">
        <f t="shared" si="5"/>
        <v>268810.53511705686</v>
      </c>
      <c r="L44" s="24"/>
      <c r="M44" s="24"/>
      <c r="N44" s="24"/>
    </row>
    <row r="45" spans="1:14" ht="15" customHeight="1" x14ac:dyDescent="0.25">
      <c r="A45" s="161"/>
      <c r="B45" s="269">
        <v>4.5</v>
      </c>
      <c r="C45" s="269">
        <v>69.3</v>
      </c>
      <c r="D45" s="295">
        <f>12520.39*1.05</f>
        <v>13146.4095</v>
      </c>
      <c r="E45" s="295">
        <f>18123.2*1.05</f>
        <v>19029.36</v>
      </c>
      <c r="F45" s="287">
        <f t="shared" si="2"/>
        <v>189702.87878787881</v>
      </c>
      <c r="G45" s="287">
        <f t="shared" si="3"/>
        <v>274593.93939393945</v>
      </c>
      <c r="H45" s="295">
        <f>10982.8*1.05</f>
        <v>11531.94</v>
      </c>
      <c r="I45" s="295">
        <f>15897.54*1.05</f>
        <v>16692.417000000001</v>
      </c>
      <c r="J45" s="287">
        <f t="shared" si="4"/>
        <v>166406.06060606061</v>
      </c>
      <c r="K45" s="287">
        <f t="shared" si="5"/>
        <v>240871.81818181821</v>
      </c>
      <c r="L45" s="24"/>
      <c r="M45" s="24"/>
      <c r="N45" s="24"/>
    </row>
    <row r="46" spans="1:14" ht="15" customHeight="1" x14ac:dyDescent="0.25">
      <c r="A46" s="161"/>
      <c r="B46" s="269">
        <v>4.8</v>
      </c>
      <c r="C46" s="269">
        <v>79.599999999999994</v>
      </c>
      <c r="D46" s="295">
        <f>12983.96*1.05</f>
        <v>13633.157999999999</v>
      </c>
      <c r="E46" s="295">
        <f>18811.39*1.05</f>
        <v>19751.959500000001</v>
      </c>
      <c r="F46" s="287">
        <f t="shared" si="2"/>
        <v>171270.82914572864</v>
      </c>
      <c r="G46" s="287">
        <f t="shared" si="3"/>
        <v>248140.19472361813</v>
      </c>
      <c r="H46" s="295">
        <f>11389.44*1.05</f>
        <v>11958.912</v>
      </c>
      <c r="I46" s="295">
        <f>16501.22*1.05</f>
        <v>17326.281000000003</v>
      </c>
      <c r="J46" s="287">
        <f t="shared" si="4"/>
        <v>150237.58793969851</v>
      </c>
      <c r="K46" s="287">
        <f t="shared" si="5"/>
        <v>217666.84673366838</v>
      </c>
      <c r="L46" s="24"/>
      <c r="M46" s="24"/>
      <c r="N46" s="24"/>
    </row>
    <row r="47" spans="1:14" ht="15" customHeight="1" x14ac:dyDescent="0.25">
      <c r="A47" s="161"/>
      <c r="B47" s="269">
        <v>5.5</v>
      </c>
      <c r="C47" s="269">
        <v>102.6</v>
      </c>
      <c r="D47" s="295">
        <f>14060.18*1.05</f>
        <v>14763.189</v>
      </c>
      <c r="E47" s="295">
        <f>20382.41*1.05</f>
        <v>21401.530500000001</v>
      </c>
      <c r="F47" s="287">
        <f t="shared" si="2"/>
        <v>143890.73099415205</v>
      </c>
      <c r="G47" s="287">
        <f t="shared" si="3"/>
        <v>208591.91520467837</v>
      </c>
      <c r="H47" s="295">
        <f>12333.49*1.05</f>
        <v>12950.164500000001</v>
      </c>
      <c r="I47" s="295">
        <f>17879.31*1.05</f>
        <v>18773.275500000003</v>
      </c>
      <c r="J47" s="287">
        <f t="shared" si="4"/>
        <v>126219.9269005848</v>
      </c>
      <c r="K47" s="287">
        <f t="shared" si="5"/>
        <v>182975.39473684217</v>
      </c>
      <c r="L47" s="24"/>
      <c r="M47" s="24"/>
      <c r="N47" s="24"/>
    </row>
    <row r="48" spans="1:14" ht="15" customHeight="1" x14ac:dyDescent="0.25">
      <c r="A48" s="161"/>
      <c r="B48" s="269">
        <v>5.8</v>
      </c>
      <c r="C48" s="269">
        <v>114.5</v>
      </c>
      <c r="D48" s="295">
        <f>14504.99*1.05</f>
        <v>15230.2395</v>
      </c>
      <c r="E48" s="295">
        <f>21082.28*1.05</f>
        <v>22136.394</v>
      </c>
      <c r="F48" s="287">
        <f t="shared" si="2"/>
        <v>133015.19213973798</v>
      </c>
      <c r="G48" s="287">
        <f t="shared" si="3"/>
        <v>193330.9519650655</v>
      </c>
      <c r="H48" s="295">
        <f>12723.68*1.05</f>
        <v>13359.864000000001</v>
      </c>
      <c r="I48" s="295">
        <f>18493.23*1.05</f>
        <v>19417.891500000002</v>
      </c>
      <c r="J48" s="287">
        <f t="shared" si="4"/>
        <v>116680.03493449783</v>
      </c>
      <c r="K48" s="287">
        <f t="shared" si="5"/>
        <v>169588.57205240175</v>
      </c>
      <c r="L48" s="24"/>
      <c r="M48" s="24"/>
      <c r="N48" s="24"/>
    </row>
    <row r="49" spans="1:14" ht="15" customHeight="1" x14ac:dyDescent="0.25">
      <c r="A49" s="161"/>
      <c r="B49" s="269">
        <v>6.5</v>
      </c>
      <c r="C49" s="269">
        <v>142.5</v>
      </c>
      <c r="D49" s="295">
        <f>15581.19*1.05</f>
        <v>16360.249500000002</v>
      </c>
      <c r="E49" s="295">
        <f>22568.85*1.05</f>
        <v>23697.2925</v>
      </c>
      <c r="F49" s="287">
        <f t="shared" si="2"/>
        <v>114808.76842105265</v>
      </c>
      <c r="G49" s="287">
        <f t="shared" si="3"/>
        <v>166296.78947368421</v>
      </c>
      <c r="H49" s="295">
        <f>13667.71*1.05</f>
        <v>14351.095499999999</v>
      </c>
      <c r="I49" s="295">
        <f>19797.24*1.05</f>
        <v>20787.102000000003</v>
      </c>
      <c r="J49" s="287">
        <f t="shared" si="4"/>
        <v>100709.44210526315</v>
      </c>
      <c r="K49" s="287">
        <f t="shared" si="5"/>
        <v>145874.4</v>
      </c>
      <c r="L49" s="24"/>
      <c r="M49" s="24"/>
      <c r="N49" s="24"/>
    </row>
    <row r="50" spans="1:14" ht="15" customHeight="1" x14ac:dyDescent="0.25">
      <c r="A50" s="161"/>
      <c r="B50" s="269">
        <v>8.1</v>
      </c>
      <c r="C50" s="269">
        <v>222</v>
      </c>
      <c r="D50" s="295">
        <f>20365.57*1.05</f>
        <v>21383.8485</v>
      </c>
      <c r="E50" s="295">
        <f>29581.79*1.05</f>
        <v>31060.879500000003</v>
      </c>
      <c r="F50" s="287">
        <f t="shared" si="2"/>
        <v>96323.641891891893</v>
      </c>
      <c r="G50" s="287">
        <f t="shared" si="3"/>
        <v>139913.87162162163</v>
      </c>
      <c r="H50" s="295">
        <f>17864.53*1.05</f>
        <v>18757.7565</v>
      </c>
      <c r="I50" s="295">
        <f>25948.94*1.05</f>
        <v>27246.386999999999</v>
      </c>
      <c r="J50" s="287">
        <f t="shared" si="4"/>
        <v>84494.398648648639</v>
      </c>
      <c r="K50" s="287">
        <f t="shared" si="5"/>
        <v>122731.47297297297</v>
      </c>
      <c r="L50" s="24"/>
      <c r="M50" s="24"/>
      <c r="N50" s="24"/>
    </row>
    <row r="51" spans="1:14" ht="15" customHeight="1" x14ac:dyDescent="0.25">
      <c r="A51" s="161"/>
      <c r="B51" s="269">
        <v>9.6999999999999993</v>
      </c>
      <c r="C51" s="269">
        <v>319</v>
      </c>
      <c r="D51" s="295">
        <f>24744.18*1.05</f>
        <v>25981.389000000003</v>
      </c>
      <c r="E51" s="295">
        <f>33831.57*1.05</f>
        <v>35523.148500000003</v>
      </c>
      <c r="F51" s="287">
        <f t="shared" si="2"/>
        <v>81446.360501567411</v>
      </c>
      <c r="G51" s="287">
        <f t="shared" si="3"/>
        <v>111357.83228840127</v>
      </c>
      <c r="H51" s="295">
        <f>24744.18*1.05</f>
        <v>25981.389000000003</v>
      </c>
      <c r="I51" s="295">
        <f>33831.57*1.05</f>
        <v>35523.148500000003</v>
      </c>
      <c r="J51" s="287">
        <f t="shared" si="4"/>
        <v>81446.360501567411</v>
      </c>
      <c r="K51" s="287">
        <f t="shared" si="5"/>
        <v>111357.83228840127</v>
      </c>
      <c r="L51" s="24"/>
      <c r="M51" s="24"/>
      <c r="N51" s="24"/>
    </row>
    <row r="52" spans="1:14" ht="15" customHeight="1" x14ac:dyDescent="0.25">
      <c r="A52" s="161"/>
      <c r="B52" s="269">
        <v>13</v>
      </c>
      <c r="C52" s="269">
        <v>565.5</v>
      </c>
      <c r="D52" s="295">
        <f>36849.91*1.05</f>
        <v>38692.405500000008</v>
      </c>
      <c r="E52" s="295">
        <f>47729.41*1.05</f>
        <v>50115.880500000007</v>
      </c>
      <c r="F52" s="287">
        <f t="shared" si="2"/>
        <v>68421.583554376673</v>
      </c>
      <c r="G52" s="287">
        <f t="shared" si="3"/>
        <v>88622.246684350146</v>
      </c>
      <c r="H52" s="295">
        <f>36849.91*1.05</f>
        <v>38692.405500000008</v>
      </c>
      <c r="I52" s="295">
        <f>47729.41*1.05</f>
        <v>50115.880500000007</v>
      </c>
      <c r="J52" s="287">
        <f t="shared" si="4"/>
        <v>68421.583554376673</v>
      </c>
      <c r="K52" s="287">
        <f t="shared" si="5"/>
        <v>88622.246684350146</v>
      </c>
      <c r="L52" s="24"/>
      <c r="M52" s="24"/>
      <c r="N52" s="24"/>
    </row>
    <row r="53" spans="1:14" ht="15" hidden="1" customHeight="1" x14ac:dyDescent="0.25">
      <c r="A53" s="161"/>
      <c r="B53" s="292">
        <v>14</v>
      </c>
      <c r="C53" s="292"/>
      <c r="D53" s="293" t="e">
        <v>#REF!</v>
      </c>
      <c r="E53" s="293"/>
      <c r="F53" s="294">
        <v>0</v>
      </c>
      <c r="G53" s="293"/>
      <c r="H53" s="24"/>
    </row>
    <row r="54" spans="1:14" ht="15" hidden="1" customHeight="1" x14ac:dyDescent="0.25">
      <c r="A54" s="161"/>
      <c r="B54" s="12">
        <v>16</v>
      </c>
      <c r="C54" s="12"/>
      <c r="D54" s="7" t="e">
        <v>#REF!</v>
      </c>
      <c r="E54" s="7"/>
      <c r="F54" s="58">
        <v>0</v>
      </c>
      <c r="G54" s="7"/>
      <c r="H54" s="24"/>
    </row>
    <row r="55" spans="1:14" ht="15" hidden="1" customHeight="1" x14ac:dyDescent="0.25">
      <c r="A55" s="161"/>
      <c r="B55" s="12">
        <v>16.5</v>
      </c>
      <c r="C55" s="12"/>
      <c r="D55" s="7" t="e">
        <v>#REF!</v>
      </c>
      <c r="E55" s="7"/>
      <c r="F55" s="58">
        <v>0</v>
      </c>
      <c r="G55" s="7"/>
      <c r="H55" s="24"/>
    </row>
    <row r="56" spans="1:14" ht="15" hidden="1" customHeight="1" x14ac:dyDescent="0.25">
      <c r="A56" s="161"/>
      <c r="B56" s="12">
        <v>18</v>
      </c>
      <c r="C56" s="12"/>
      <c r="D56" s="7" t="e">
        <v>#REF!</v>
      </c>
      <c r="E56" s="7"/>
      <c r="F56" s="58">
        <v>0</v>
      </c>
      <c r="G56" s="7"/>
      <c r="H56" s="24"/>
    </row>
    <row r="57" spans="1:14" ht="15" customHeight="1" x14ac:dyDescent="0.25">
      <c r="A57" s="161"/>
      <c r="B57" s="20"/>
      <c r="C57" s="20"/>
      <c r="D57" s="21"/>
      <c r="E57" s="21"/>
      <c r="F57" s="21"/>
      <c r="G57" s="21"/>
      <c r="H57" s="24"/>
    </row>
    <row r="58" spans="1:14" x14ac:dyDescent="0.25">
      <c r="A58" s="161"/>
      <c r="F58" s="13"/>
      <c r="G58" s="29">
        <v>41000</v>
      </c>
      <c r="H58" s="24"/>
    </row>
    <row r="59" spans="1:14" x14ac:dyDescent="0.25">
      <c r="A59" s="161"/>
      <c r="B59" s="426" t="s">
        <v>121</v>
      </c>
      <c r="C59" s="427"/>
      <c r="D59" s="456"/>
      <c r="E59" s="457"/>
      <c r="F59" s="568" t="s">
        <v>136</v>
      </c>
      <c r="G59" s="568"/>
      <c r="H59" s="24"/>
    </row>
    <row r="60" spans="1:14" x14ac:dyDescent="0.25">
      <c r="A60" s="161"/>
      <c r="B60" s="428" t="s">
        <v>137</v>
      </c>
      <c r="C60" s="429"/>
      <c r="D60" s="458"/>
      <c r="E60" s="459"/>
      <c r="F60" s="568"/>
      <c r="G60" s="568"/>
      <c r="H60" s="24"/>
    </row>
    <row r="61" spans="1:14" ht="27" customHeight="1" x14ac:dyDescent="0.25">
      <c r="A61" s="161"/>
      <c r="B61" s="565" t="s">
        <v>104</v>
      </c>
      <c r="C61" s="565" t="s">
        <v>119</v>
      </c>
      <c r="D61" s="565" t="s">
        <v>501</v>
      </c>
      <c r="E61" s="565"/>
      <c r="F61" s="565" t="s">
        <v>500</v>
      </c>
      <c r="G61" s="565"/>
      <c r="H61" s="24"/>
    </row>
    <row r="62" spans="1:14" x14ac:dyDescent="0.25">
      <c r="A62" s="161"/>
      <c r="B62" s="565"/>
      <c r="C62" s="565"/>
      <c r="D62" s="455" t="s">
        <v>120</v>
      </c>
      <c r="E62" s="455" t="s">
        <v>264</v>
      </c>
      <c r="F62" s="455" t="s">
        <v>120</v>
      </c>
      <c r="G62" s="455" t="s">
        <v>264</v>
      </c>
      <c r="H62" s="24"/>
    </row>
    <row r="63" spans="1:14" x14ac:dyDescent="0.25">
      <c r="A63" s="161"/>
      <c r="B63" s="269">
        <v>5</v>
      </c>
      <c r="C63" s="269">
        <v>82.5</v>
      </c>
      <c r="D63" s="295">
        <f>21803.58*1.05</f>
        <v>22893.759000000002</v>
      </c>
      <c r="E63" s="295">
        <f>28248.72*1.05</f>
        <v>29661.156000000003</v>
      </c>
      <c r="F63" s="287">
        <f t="shared" ref="F63:F74" si="6">D63/C63*1000</f>
        <v>277500.10909090913</v>
      </c>
      <c r="G63" s="287">
        <f t="shared" ref="G63:G74" si="7">E63/C63*1000</f>
        <v>359529.16363636364</v>
      </c>
      <c r="H63" s="182"/>
    </row>
    <row r="64" spans="1:14" x14ac:dyDescent="0.25">
      <c r="A64" s="161"/>
      <c r="B64" s="269">
        <v>5.4</v>
      </c>
      <c r="C64" s="269">
        <v>98.1</v>
      </c>
      <c r="D64" s="295">
        <f>22716.22*1.05</f>
        <v>23852.031000000003</v>
      </c>
      <c r="E64" s="295">
        <f>29431.15*1.05</f>
        <v>30902.707500000004</v>
      </c>
      <c r="F64" s="287">
        <f t="shared" si="6"/>
        <v>243139.96941896027</v>
      </c>
      <c r="G64" s="287">
        <f t="shared" si="7"/>
        <v>315012.30886850157</v>
      </c>
      <c r="H64" s="182"/>
    </row>
    <row r="65" spans="1:8" x14ac:dyDescent="0.25">
      <c r="A65" s="161"/>
      <c r="B65" s="269">
        <v>5.8</v>
      </c>
      <c r="C65" s="269">
        <v>115.5</v>
      </c>
      <c r="D65" s="295">
        <f>23595.58*1.05</f>
        <v>24775.359000000004</v>
      </c>
      <c r="E65" s="295">
        <f>30570.43*1.05</f>
        <v>32098.951500000003</v>
      </c>
      <c r="F65" s="287">
        <f t="shared" si="6"/>
        <v>214505.27272727276</v>
      </c>
      <c r="G65" s="287">
        <f t="shared" si="7"/>
        <v>277913</v>
      </c>
      <c r="H65" s="182"/>
    </row>
    <row r="66" spans="1:8" x14ac:dyDescent="0.25">
      <c r="A66" s="161"/>
      <c r="B66" s="269">
        <v>6.3</v>
      </c>
      <c r="C66" s="269">
        <v>134</v>
      </c>
      <c r="D66" s="295">
        <f>24584.62*1.05</f>
        <v>25813.850999999999</v>
      </c>
      <c r="E66" s="295">
        <f>31851.82*1.05</f>
        <v>33444.411</v>
      </c>
      <c r="F66" s="287">
        <f t="shared" si="6"/>
        <v>192640.6791044776</v>
      </c>
      <c r="G66" s="287">
        <f t="shared" si="7"/>
        <v>249585.1567164179</v>
      </c>
      <c r="H66" s="182"/>
    </row>
    <row r="67" spans="1:8" x14ac:dyDescent="0.25">
      <c r="A67" s="161"/>
      <c r="B67" s="269">
        <v>6.7</v>
      </c>
      <c r="C67" s="269">
        <v>153.5</v>
      </c>
      <c r="D67" s="295">
        <f>25571.68*1.05</f>
        <v>26850.264000000003</v>
      </c>
      <c r="E67" s="295">
        <f>33130.66*1.05</f>
        <v>34787.193000000007</v>
      </c>
      <c r="F67" s="287">
        <f t="shared" si="6"/>
        <v>174920.28664495115</v>
      </c>
      <c r="G67" s="287">
        <f t="shared" si="7"/>
        <v>226626.66449511406</v>
      </c>
      <c r="H67" s="182"/>
    </row>
    <row r="68" spans="1:8" x14ac:dyDescent="0.25">
      <c r="A68" s="161"/>
      <c r="B68" s="269">
        <v>7.6</v>
      </c>
      <c r="C68" s="269">
        <v>197</v>
      </c>
      <c r="D68" s="295">
        <f>26085.77*1.05</f>
        <v>27390.058500000003</v>
      </c>
      <c r="E68" s="295">
        <f>33796.72*1.05</f>
        <v>35486.556000000004</v>
      </c>
      <c r="F68" s="287">
        <f t="shared" si="6"/>
        <v>139035.8299492386</v>
      </c>
      <c r="G68" s="287">
        <f t="shared" si="7"/>
        <v>180134.80203045689</v>
      </c>
      <c r="H68" s="182"/>
    </row>
    <row r="69" spans="1:8" x14ac:dyDescent="0.25">
      <c r="A69" s="161"/>
      <c r="B69" s="269">
        <v>8.5</v>
      </c>
      <c r="C69" s="269">
        <v>246</v>
      </c>
      <c r="D69" s="295">
        <f>28434.85*1.05</f>
        <v>29856.592499999999</v>
      </c>
      <c r="E69" s="295">
        <f>36840.18*1.05</f>
        <v>38682.188999999998</v>
      </c>
      <c r="F69" s="287">
        <f t="shared" si="6"/>
        <v>121368.26219512195</v>
      </c>
      <c r="G69" s="287">
        <f t="shared" si="7"/>
        <v>157244.67073170733</v>
      </c>
      <c r="H69" s="182"/>
    </row>
    <row r="70" spans="1:8" x14ac:dyDescent="0.25">
      <c r="A70" s="161"/>
      <c r="B70" s="269">
        <v>9</v>
      </c>
      <c r="C70" s="269">
        <v>273.5</v>
      </c>
      <c r="D70" s="295">
        <f>29748.09*1.05</f>
        <v>31235.494500000001</v>
      </c>
      <c r="E70" s="295">
        <f>38541.63*1.05</f>
        <v>40468.711499999998</v>
      </c>
      <c r="F70" s="287">
        <f t="shared" si="6"/>
        <v>114206.56124314442</v>
      </c>
      <c r="G70" s="287">
        <f t="shared" si="7"/>
        <v>147966.03839122487</v>
      </c>
      <c r="H70" s="182"/>
    </row>
    <row r="71" spans="1:8" x14ac:dyDescent="0.25">
      <c r="A71" s="161"/>
      <c r="B71" s="269">
        <v>11.5</v>
      </c>
      <c r="C71" s="269">
        <v>427</v>
      </c>
      <c r="D71" s="295">
        <f>36623.29*1.05</f>
        <v>38454.4545</v>
      </c>
      <c r="E71" s="295">
        <f>47449.14*1.05</f>
        <v>49821.597000000002</v>
      </c>
      <c r="F71" s="287">
        <f t="shared" si="6"/>
        <v>90057.270491803283</v>
      </c>
      <c r="G71" s="287">
        <f t="shared" si="7"/>
        <v>116678.21311475411</v>
      </c>
      <c r="H71" s="182"/>
    </row>
    <row r="72" spans="1:8" ht="13.2" hidden="1" customHeight="1" x14ac:dyDescent="0.25">
      <c r="A72" s="161"/>
      <c r="B72" s="269">
        <v>13</v>
      </c>
      <c r="C72" s="269"/>
      <c r="D72" s="295">
        <v>0</v>
      </c>
      <c r="E72" s="295" t="e">
        <v>#DIV/0!</v>
      </c>
      <c r="F72" s="287" t="e">
        <f t="shared" si="6"/>
        <v>#DIV/0!</v>
      </c>
      <c r="G72" s="287" t="e">
        <f t="shared" si="7"/>
        <v>#DIV/0!</v>
      </c>
      <c r="H72" s="182"/>
    </row>
    <row r="73" spans="1:8" x14ac:dyDescent="0.25">
      <c r="A73" s="161"/>
      <c r="B73" s="269">
        <v>13.5</v>
      </c>
      <c r="C73" s="269">
        <v>613.5</v>
      </c>
      <c r="D73" s="295">
        <f>44743.29*1.05</f>
        <v>46980.4545</v>
      </c>
      <c r="E73" s="295">
        <f>57969.44*1.05</f>
        <v>60867.912000000004</v>
      </c>
      <c r="F73" s="287">
        <f t="shared" si="6"/>
        <v>76577.757946210273</v>
      </c>
      <c r="G73" s="287">
        <f t="shared" si="7"/>
        <v>99214.200488997565</v>
      </c>
      <c r="H73" s="182"/>
    </row>
    <row r="74" spans="1:8" x14ac:dyDescent="0.25">
      <c r="A74" s="161"/>
      <c r="B74" s="269">
        <v>15.5</v>
      </c>
      <c r="C74" s="269">
        <v>834.5</v>
      </c>
      <c r="D74" s="295">
        <f>53691.97*1.05</f>
        <v>56376.568500000001</v>
      </c>
      <c r="E74" s="295">
        <f>69563.31*1.05</f>
        <v>73041.4755</v>
      </c>
      <c r="F74" s="287">
        <f t="shared" si="6"/>
        <v>67557.301977231866</v>
      </c>
      <c r="G74" s="287">
        <f t="shared" si="7"/>
        <v>87527.232474535645</v>
      </c>
      <c r="H74" s="182"/>
    </row>
  </sheetData>
  <mergeCells count="21">
    <mergeCell ref="B39:B40"/>
    <mergeCell ref="C39:C40"/>
    <mergeCell ref="D39:E39"/>
    <mergeCell ref="F39:G39"/>
    <mergeCell ref="B2:E2"/>
    <mergeCell ref="F2:G3"/>
    <mergeCell ref="B3:E3"/>
    <mergeCell ref="B4:B5"/>
    <mergeCell ref="C4:C5"/>
    <mergeCell ref="D4:E4"/>
    <mergeCell ref="F4:G4"/>
    <mergeCell ref="H39:I39"/>
    <mergeCell ref="J39:K39"/>
    <mergeCell ref="J36:K37"/>
    <mergeCell ref="D38:G38"/>
    <mergeCell ref="H38:K38"/>
    <mergeCell ref="B61:B62"/>
    <mergeCell ref="C61:C62"/>
    <mergeCell ref="D61:E61"/>
    <mergeCell ref="F61:G61"/>
    <mergeCell ref="F59:G60"/>
  </mergeCells>
  <phoneticPr fontId="0" type="noConversion"/>
  <hyperlinks>
    <hyperlink ref="L1" location="'2'!A1" display="Оглавление"/>
  </hyperlinks>
  <printOptions horizontalCentered="1"/>
  <pageMargins left="0.59055118110236227" right="0.59055118110236227" top="0.78740157480314965" bottom="0.98425196850393704" header="0.31496062992125984" footer="0.51181102362204722"/>
  <pageSetup paperSize="9" scale="70" orientation="portrait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H35"/>
  <sheetViews>
    <sheetView view="pageBreakPreview" zoomScale="85" zoomScaleNormal="75" workbookViewId="0"/>
  </sheetViews>
  <sheetFormatPr defaultColWidth="8.88671875" defaultRowHeight="13.2" x14ac:dyDescent="0.25"/>
  <cols>
    <col min="1" max="1" width="8.88671875" style="24"/>
    <col min="2" max="2" width="10.33203125" style="10" customWidth="1"/>
    <col min="3" max="3" width="17.6640625" style="10" customWidth="1"/>
    <col min="4" max="4" width="13.5546875" style="10" customWidth="1"/>
    <col min="5" max="5" width="12.33203125" style="10" customWidth="1"/>
    <col min="6" max="6" width="11.33203125" style="10" customWidth="1"/>
    <col min="7" max="7" width="12.44140625" style="10" customWidth="1"/>
    <col min="8" max="8" width="11.109375" style="10" customWidth="1"/>
    <col min="9" max="16384" width="8.88671875" style="10"/>
  </cols>
  <sheetData>
    <row r="1" spans="1:8" x14ac:dyDescent="0.25">
      <c r="G1" s="29">
        <v>41000</v>
      </c>
      <c r="H1" s="54" t="s">
        <v>466</v>
      </c>
    </row>
    <row r="2" spans="1:8" x14ac:dyDescent="0.25">
      <c r="B2" s="621" t="s">
        <v>132</v>
      </c>
      <c r="C2" s="622"/>
      <c r="D2" s="622"/>
      <c r="E2" s="623"/>
      <c r="F2" s="568" t="s">
        <v>138</v>
      </c>
      <c r="G2" s="568"/>
    </row>
    <row r="3" spans="1:8" x14ac:dyDescent="0.25">
      <c r="B3" s="624" t="s">
        <v>497</v>
      </c>
      <c r="C3" s="625"/>
      <c r="D3" s="625"/>
      <c r="E3" s="626"/>
      <c r="F3" s="568"/>
      <c r="G3" s="568"/>
    </row>
    <row r="4" spans="1:8" ht="35.4" customHeight="1" x14ac:dyDescent="0.25">
      <c r="B4" s="565" t="s">
        <v>104</v>
      </c>
      <c r="C4" s="565" t="s">
        <v>119</v>
      </c>
      <c r="D4" s="565" t="s">
        <v>501</v>
      </c>
      <c r="E4" s="565"/>
      <c r="F4" s="565" t="s">
        <v>500</v>
      </c>
      <c r="G4" s="565"/>
    </row>
    <row r="5" spans="1:8" ht="18.600000000000001" customHeight="1" x14ac:dyDescent="0.25">
      <c r="B5" s="565"/>
      <c r="C5" s="565"/>
      <c r="D5" s="420" t="s">
        <v>120</v>
      </c>
      <c r="E5" s="420" t="s">
        <v>264</v>
      </c>
      <c r="F5" s="420" t="s">
        <v>120</v>
      </c>
      <c r="G5" s="420" t="s">
        <v>264</v>
      </c>
    </row>
    <row r="6" spans="1:8" x14ac:dyDescent="0.25">
      <c r="A6" s="126"/>
      <c r="B6" s="269">
        <v>4.5999999999999996</v>
      </c>
      <c r="C6" s="269">
        <v>77.8</v>
      </c>
      <c r="D6" s="295">
        <f>10195.86*1.05</f>
        <v>10705.653</v>
      </c>
      <c r="E6" s="295">
        <f>13203.85*1.05</f>
        <v>13864.042500000001</v>
      </c>
      <c r="F6" s="287">
        <f t="shared" ref="F6:F35" si="0">D6/C6*1000</f>
        <v>137604.79434447302</v>
      </c>
      <c r="G6" s="287">
        <f t="shared" ref="G6:G35" si="1">E6/C6*1000</f>
        <v>178201.0604113111</v>
      </c>
      <c r="H6" s="182"/>
    </row>
    <row r="7" spans="1:8" x14ac:dyDescent="0.25">
      <c r="A7" s="126"/>
      <c r="B7" s="269">
        <v>5.0999999999999996</v>
      </c>
      <c r="C7" s="269">
        <v>95.9</v>
      </c>
      <c r="D7" s="295">
        <f>11693.24*1.05</f>
        <v>12277.902</v>
      </c>
      <c r="E7" s="295">
        <f>15151.39*1.05</f>
        <v>15908.959500000001</v>
      </c>
      <c r="F7" s="287">
        <f t="shared" si="0"/>
        <v>128028.17518248173</v>
      </c>
      <c r="G7" s="287">
        <f t="shared" si="1"/>
        <v>165891.13138686129</v>
      </c>
      <c r="H7" s="182"/>
    </row>
    <row r="8" spans="1:8" x14ac:dyDescent="0.25">
      <c r="A8" s="126"/>
      <c r="B8" s="269">
        <v>5.7</v>
      </c>
      <c r="C8" s="269">
        <v>126</v>
      </c>
      <c r="D8" s="295">
        <f>13361.8*1.05</f>
        <v>14029.89</v>
      </c>
      <c r="E8" s="295">
        <f>17305.91*1.05</f>
        <v>18171.2055</v>
      </c>
      <c r="F8" s="287">
        <f t="shared" si="0"/>
        <v>111348.33333333333</v>
      </c>
      <c r="G8" s="287">
        <f t="shared" si="1"/>
        <v>144215.91666666666</v>
      </c>
      <c r="H8" s="182"/>
    </row>
    <row r="9" spans="1:8" x14ac:dyDescent="0.25">
      <c r="A9" s="126"/>
      <c r="B9" s="269">
        <v>6.4</v>
      </c>
      <c r="C9" s="269">
        <v>153</v>
      </c>
      <c r="D9" s="295">
        <f>15205.36*1.05</f>
        <v>15965.628000000001</v>
      </c>
      <c r="E9" s="295">
        <f>19691.54*1.05</f>
        <v>20676.117000000002</v>
      </c>
      <c r="F9" s="287">
        <f t="shared" si="0"/>
        <v>104350.50980392157</v>
      </c>
      <c r="G9" s="287">
        <f t="shared" si="1"/>
        <v>135138.01960784316</v>
      </c>
      <c r="H9" s="182"/>
    </row>
    <row r="10" spans="1:8" x14ac:dyDescent="0.25">
      <c r="A10" s="126"/>
      <c r="B10" s="269">
        <v>7.8</v>
      </c>
      <c r="C10" s="269">
        <v>220.5</v>
      </c>
      <c r="D10" s="295">
        <f>20250.36*1.05</f>
        <v>21262.878000000001</v>
      </c>
      <c r="E10" s="295">
        <f>26233.36*1.05</f>
        <v>27545.028000000002</v>
      </c>
      <c r="F10" s="287">
        <f t="shared" si="0"/>
        <v>96430.28571428571</v>
      </c>
      <c r="G10" s="287">
        <f t="shared" si="1"/>
        <v>124920.76190476192</v>
      </c>
      <c r="H10" s="182"/>
    </row>
    <row r="11" spans="1:8" x14ac:dyDescent="0.25">
      <c r="A11" s="126"/>
      <c r="B11" s="269">
        <v>8.8000000000000007</v>
      </c>
      <c r="C11" s="269">
        <v>293.60000000000002</v>
      </c>
      <c r="D11" s="295">
        <f>23935.19*1.05</f>
        <v>25131.949499999999</v>
      </c>
      <c r="E11" s="295">
        <f>31011.86*1.05</f>
        <v>32562.453000000001</v>
      </c>
      <c r="F11" s="287">
        <f t="shared" si="0"/>
        <v>85599.283038147129</v>
      </c>
      <c r="G11" s="287">
        <f t="shared" si="1"/>
        <v>110907.53746594005</v>
      </c>
      <c r="H11" s="182"/>
    </row>
    <row r="12" spans="1:8" x14ac:dyDescent="0.25">
      <c r="A12" s="126"/>
      <c r="B12" s="269">
        <v>10.5</v>
      </c>
      <c r="C12" s="269">
        <v>387.5</v>
      </c>
      <c r="D12" s="295">
        <f>28568.96*1.05</f>
        <v>29997.407999999999</v>
      </c>
      <c r="E12" s="295">
        <f>36999.74*1.05</f>
        <v>38849.726999999999</v>
      </c>
      <c r="F12" s="287">
        <f t="shared" si="0"/>
        <v>77412.665806451609</v>
      </c>
      <c r="G12" s="287">
        <f t="shared" si="1"/>
        <v>100257.35999999999</v>
      </c>
      <c r="H12" s="182"/>
    </row>
    <row r="13" spans="1:8" x14ac:dyDescent="0.25">
      <c r="A13" s="126"/>
      <c r="B13" s="269">
        <v>11.5</v>
      </c>
      <c r="C13" s="269">
        <v>487</v>
      </c>
      <c r="D13" s="295">
        <f>33508.82*1.05</f>
        <v>35184.260999999999</v>
      </c>
      <c r="E13" s="295">
        <f>43384.78*1.05</f>
        <v>45554.019</v>
      </c>
      <c r="F13" s="287">
        <f t="shared" si="0"/>
        <v>72246.942505133455</v>
      </c>
      <c r="G13" s="287">
        <f t="shared" si="1"/>
        <v>93540.080082135522</v>
      </c>
      <c r="H13" s="182"/>
    </row>
    <row r="14" spans="1:8" x14ac:dyDescent="0.25">
      <c r="A14" s="126"/>
      <c r="B14" s="269">
        <v>12</v>
      </c>
      <c r="C14" s="269">
        <v>530</v>
      </c>
      <c r="D14" s="295">
        <f>35717.16*1.05</f>
        <v>37503.018000000004</v>
      </c>
      <c r="E14" s="295">
        <f>46253.13*1.05</f>
        <v>48565.786500000002</v>
      </c>
      <c r="F14" s="287">
        <f t="shared" si="0"/>
        <v>70760.411320754734</v>
      </c>
      <c r="G14" s="287">
        <f t="shared" si="1"/>
        <v>91633.559433962262</v>
      </c>
      <c r="H14" s="182"/>
    </row>
    <row r="15" spans="1:8" x14ac:dyDescent="0.25">
      <c r="A15" s="126"/>
      <c r="B15" s="269">
        <v>13</v>
      </c>
      <c r="C15" s="269">
        <v>597.29999999999995</v>
      </c>
      <c r="D15" s="295">
        <f>39038.11*1.05</f>
        <v>40990.015500000001</v>
      </c>
      <c r="E15" s="295">
        <f>50547.93*1.05</f>
        <v>53075.326500000003</v>
      </c>
      <c r="F15" s="287">
        <f t="shared" si="0"/>
        <v>68625.507282772494</v>
      </c>
      <c r="G15" s="287">
        <f t="shared" si="1"/>
        <v>88858.741838272239</v>
      </c>
      <c r="H15" s="182"/>
    </row>
    <row r="16" spans="1:8" x14ac:dyDescent="0.25">
      <c r="A16" s="126"/>
      <c r="B16" s="269">
        <v>14</v>
      </c>
      <c r="C16" s="269">
        <v>719</v>
      </c>
      <c r="D16" s="295">
        <f>46374.86*1.05</f>
        <v>48693.603000000003</v>
      </c>
      <c r="E16" s="295">
        <f>60044.77*1.05</f>
        <v>63047.008499999996</v>
      </c>
      <c r="F16" s="287">
        <f t="shared" si="0"/>
        <v>67724.065368567448</v>
      </c>
      <c r="G16" s="287">
        <f t="shared" si="1"/>
        <v>87687.077190542404</v>
      </c>
      <c r="H16" s="182"/>
    </row>
    <row r="17" spans="1:8" x14ac:dyDescent="0.25">
      <c r="A17" s="126"/>
      <c r="B17" s="269">
        <v>15</v>
      </c>
      <c r="C17" s="269">
        <v>852.5</v>
      </c>
      <c r="D17" s="295">
        <f>54496.4*1.05</f>
        <v>57221.22</v>
      </c>
      <c r="E17" s="295">
        <f>70601.83*1.05</f>
        <v>74131.921500000011</v>
      </c>
      <c r="F17" s="287">
        <f t="shared" si="0"/>
        <v>67121.665689149566</v>
      </c>
      <c r="G17" s="287">
        <f t="shared" si="1"/>
        <v>86958.265689149572</v>
      </c>
      <c r="H17" s="182"/>
    </row>
    <row r="18" spans="1:8" x14ac:dyDescent="0.25">
      <c r="A18" s="126"/>
      <c r="B18" s="269">
        <v>16.5</v>
      </c>
      <c r="C18" s="269">
        <v>996.5</v>
      </c>
      <c r="D18" s="295">
        <f>62945.81*1.05</f>
        <v>66093.1005</v>
      </c>
      <c r="E18" s="295">
        <f>81565.15*1.05</f>
        <v>85643.407500000001</v>
      </c>
      <c r="F18" s="287">
        <f t="shared" si="0"/>
        <v>66325.238835925746</v>
      </c>
      <c r="G18" s="287">
        <f t="shared" si="1"/>
        <v>85944.212242849972</v>
      </c>
      <c r="H18" s="182"/>
    </row>
    <row r="19" spans="1:8" x14ac:dyDescent="0.25">
      <c r="A19" s="126"/>
      <c r="B19" s="269">
        <v>17.5</v>
      </c>
      <c r="C19" s="296">
        <v>1155</v>
      </c>
      <c r="D19" s="295">
        <f>71720.03*1.05</f>
        <v>75306.031499999997</v>
      </c>
      <c r="E19" s="295">
        <f>92905.29*1.05</f>
        <v>97550.554499999998</v>
      </c>
      <c r="F19" s="287">
        <f t="shared" si="0"/>
        <v>65200.027272727268</v>
      </c>
      <c r="G19" s="287">
        <f t="shared" si="1"/>
        <v>84459.354545454538</v>
      </c>
      <c r="H19" s="182"/>
    </row>
    <row r="20" spans="1:8" x14ac:dyDescent="0.25">
      <c r="A20" s="126"/>
      <c r="B20" s="269">
        <v>19.5</v>
      </c>
      <c r="C20" s="296">
        <v>1370</v>
      </c>
      <c r="D20" s="295">
        <f>81829.91*1.05</f>
        <v>85921.405500000008</v>
      </c>
      <c r="E20" s="295">
        <f>105991.79*1.05</f>
        <v>111291.3795</v>
      </c>
      <c r="F20" s="287">
        <f t="shared" si="0"/>
        <v>62716.35437956205</v>
      </c>
      <c r="G20" s="287">
        <f t="shared" si="1"/>
        <v>81234.583576642341</v>
      </c>
      <c r="H20" s="182"/>
    </row>
    <row r="21" spans="1:8" x14ac:dyDescent="0.25">
      <c r="A21" s="126"/>
      <c r="B21" s="269">
        <v>20.5</v>
      </c>
      <c r="C21" s="296">
        <v>1550</v>
      </c>
      <c r="D21" s="295">
        <f>91681.89*1.05</f>
        <v>96265.984500000006</v>
      </c>
      <c r="E21" s="295">
        <f>118772.78*1.05</f>
        <v>124711.41900000001</v>
      </c>
      <c r="F21" s="287">
        <f t="shared" si="0"/>
        <v>62107.086774193551</v>
      </c>
      <c r="G21" s="287">
        <f t="shared" si="1"/>
        <v>80458.98000000001</v>
      </c>
      <c r="H21" s="182"/>
    </row>
    <row r="22" spans="1:8" x14ac:dyDescent="0.25">
      <c r="A22" s="126"/>
      <c r="B22" s="269">
        <v>22</v>
      </c>
      <c r="C22" s="296">
        <v>1745</v>
      </c>
      <c r="D22" s="295">
        <f>102636.74*1.05</f>
        <v>107768.577</v>
      </c>
      <c r="E22" s="295">
        <f>132968.77*1.05</f>
        <v>139617.20850000001</v>
      </c>
      <c r="F22" s="287">
        <f t="shared" si="0"/>
        <v>61758.49684813754</v>
      </c>
      <c r="G22" s="287">
        <f t="shared" si="1"/>
        <v>80009.861604584527</v>
      </c>
      <c r="H22" s="182"/>
    </row>
    <row r="23" spans="1:8" x14ac:dyDescent="0.25">
      <c r="A23" s="126"/>
      <c r="B23" s="269">
        <v>23</v>
      </c>
      <c r="C23" s="296">
        <v>1950</v>
      </c>
      <c r="D23" s="295">
        <f>113354.16*1.05</f>
        <v>119021.868</v>
      </c>
      <c r="E23" s="295">
        <f>146851.63*1.05</f>
        <v>154194.2115</v>
      </c>
      <c r="F23" s="287">
        <f t="shared" si="0"/>
        <v>61036.855384615388</v>
      </c>
      <c r="G23" s="287">
        <f t="shared" si="1"/>
        <v>79073.954615384617</v>
      </c>
      <c r="H23" s="182"/>
    </row>
    <row r="24" spans="1:8" x14ac:dyDescent="0.25">
      <c r="A24" s="126"/>
      <c r="B24" s="269">
        <v>25.5</v>
      </c>
      <c r="C24" s="296">
        <v>2390</v>
      </c>
      <c r="D24" s="295">
        <f>138893.54*1.05</f>
        <v>145838.217</v>
      </c>
      <c r="E24" s="295">
        <f>179816.14*1.05</f>
        <v>188806.94700000001</v>
      </c>
      <c r="F24" s="287">
        <f t="shared" si="0"/>
        <v>61020.174476987449</v>
      </c>
      <c r="G24" s="287">
        <f t="shared" si="1"/>
        <v>78998.722594142266</v>
      </c>
      <c r="H24" s="182"/>
    </row>
    <row r="25" spans="1:8" x14ac:dyDescent="0.25">
      <c r="A25" s="126"/>
      <c r="B25" s="269">
        <v>28</v>
      </c>
      <c r="C25" s="296">
        <v>2880</v>
      </c>
      <c r="D25" s="295">
        <f>167034.56*1.05</f>
        <v>175386.288</v>
      </c>
      <c r="E25" s="295">
        <f>216403.85*1.05</f>
        <v>227224.04250000001</v>
      </c>
      <c r="F25" s="297">
        <f t="shared" si="0"/>
        <v>60898.016666666663</v>
      </c>
      <c r="G25" s="297">
        <f t="shared" si="1"/>
        <v>78897.236979166657</v>
      </c>
      <c r="H25" s="182"/>
    </row>
    <row r="26" spans="1:8" x14ac:dyDescent="0.25">
      <c r="A26" s="126"/>
      <c r="B26" s="269">
        <v>30.5</v>
      </c>
      <c r="C26" s="296">
        <v>3410</v>
      </c>
      <c r="D26" s="295">
        <f>196885.84*1.05</f>
        <v>206730.13200000001</v>
      </c>
      <c r="E26" s="295">
        <f>254926.16*1.05</f>
        <v>267672.46799999999</v>
      </c>
      <c r="F26" s="297">
        <f t="shared" si="0"/>
        <v>60624.672140762472</v>
      </c>
      <c r="G26" s="297">
        <f t="shared" si="1"/>
        <v>78496.324926686211</v>
      </c>
      <c r="H26" s="182"/>
    </row>
    <row r="27" spans="1:8" x14ac:dyDescent="0.25">
      <c r="A27" s="126"/>
      <c r="B27" s="269">
        <v>32.5</v>
      </c>
      <c r="C27" s="296">
        <v>3990</v>
      </c>
      <c r="D27" s="295">
        <f>224681.73*1.05</f>
        <v>235915.81650000002</v>
      </c>
      <c r="E27" s="295">
        <f>291039.48*1.05</f>
        <v>305591.45399999997</v>
      </c>
      <c r="F27" s="297">
        <f t="shared" si="0"/>
        <v>59126.771052631586</v>
      </c>
      <c r="G27" s="297">
        <f t="shared" si="1"/>
        <v>76589.336842105258</v>
      </c>
      <c r="H27" s="182"/>
    </row>
    <row r="28" spans="1:8" x14ac:dyDescent="0.25">
      <c r="A28" s="126"/>
      <c r="B28" s="269">
        <v>35</v>
      </c>
      <c r="C28" s="296">
        <v>4610</v>
      </c>
      <c r="D28" s="295">
        <f>259372.6*1.05</f>
        <v>272341.23000000004</v>
      </c>
      <c r="E28" s="295">
        <f>336097.3*1.05</f>
        <v>352902.16499999998</v>
      </c>
      <c r="F28" s="297">
        <f t="shared" si="0"/>
        <v>59076.188720173544</v>
      </c>
      <c r="G28" s="297">
        <f t="shared" si="1"/>
        <v>76551.445770065067</v>
      </c>
      <c r="H28" s="182"/>
    </row>
    <row r="29" spans="1:8" x14ac:dyDescent="0.25">
      <c r="A29" s="126"/>
      <c r="B29" s="269">
        <v>37</v>
      </c>
      <c r="C29" s="296">
        <v>5035</v>
      </c>
      <c r="D29" s="295">
        <f>281638.9*1.05</f>
        <v>295720.84500000003</v>
      </c>
      <c r="E29" s="295">
        <f>364611.16*1.05</f>
        <v>382841.71799999999</v>
      </c>
      <c r="F29" s="287">
        <f t="shared" si="0"/>
        <v>58733.037735849059</v>
      </c>
      <c r="G29" s="287">
        <f t="shared" si="1"/>
        <v>76036.0909632572</v>
      </c>
      <c r="H29" s="182"/>
    </row>
    <row r="30" spans="1:8" x14ac:dyDescent="0.25">
      <c r="A30" s="126"/>
      <c r="B30" s="269">
        <v>39</v>
      </c>
      <c r="C30" s="296">
        <v>5475</v>
      </c>
      <c r="D30" s="295">
        <f>305011.71*1.05</f>
        <v>320262.29550000001</v>
      </c>
      <c r="E30" s="295">
        <f>395167.82*1.05</f>
        <v>414926.21100000001</v>
      </c>
      <c r="F30" s="287">
        <f t="shared" si="0"/>
        <v>58495.396438356169</v>
      </c>
      <c r="G30" s="287">
        <f t="shared" si="1"/>
        <v>75785.609315068505</v>
      </c>
      <c r="H30" s="182"/>
    </row>
    <row r="31" spans="1:8" x14ac:dyDescent="0.25">
      <c r="A31" s="126"/>
      <c r="B31" s="269">
        <v>40</v>
      </c>
      <c r="C31" s="296">
        <v>5830</v>
      </c>
      <c r="D31" s="295">
        <f>320651.09*1.05</f>
        <v>336683.64450000005</v>
      </c>
      <c r="E31" s="295">
        <f>415303.69*1.05</f>
        <v>436068.87450000003</v>
      </c>
      <c r="F31" s="287">
        <f t="shared" si="0"/>
        <v>57750.196312178399</v>
      </c>
      <c r="G31" s="287">
        <f t="shared" si="1"/>
        <v>74797.40557461408</v>
      </c>
      <c r="H31" s="182"/>
    </row>
    <row r="32" spans="1:8" x14ac:dyDescent="0.25">
      <c r="A32" s="126"/>
      <c r="B32" s="269">
        <v>41</v>
      </c>
      <c r="C32" s="296">
        <v>6200</v>
      </c>
      <c r="D32" s="295">
        <f>340074.97*1.05</f>
        <v>357078.71849999996</v>
      </c>
      <c r="E32" s="295">
        <f>440461.88*1.05</f>
        <v>462484.97400000005</v>
      </c>
      <c r="F32" s="287">
        <f t="shared" si="0"/>
        <v>57593.341693548384</v>
      </c>
      <c r="G32" s="287">
        <f t="shared" si="1"/>
        <v>74594.350645161292</v>
      </c>
      <c r="H32" s="182"/>
    </row>
    <row r="33" spans="1:8" x14ac:dyDescent="0.25">
      <c r="A33" s="126"/>
      <c r="B33" s="269">
        <v>43.5</v>
      </c>
      <c r="C33" s="296">
        <v>6975</v>
      </c>
      <c r="D33" s="295">
        <f>381676.19*1.05</f>
        <v>400759.99950000003</v>
      </c>
      <c r="E33" s="295">
        <v>0</v>
      </c>
      <c r="F33" s="287">
        <f t="shared" si="0"/>
        <v>57456.630752688179</v>
      </c>
      <c r="G33" s="287">
        <f t="shared" si="1"/>
        <v>0</v>
      </c>
      <c r="H33" s="182"/>
    </row>
    <row r="34" spans="1:8" x14ac:dyDescent="0.25">
      <c r="A34" s="126"/>
      <c r="B34" s="269">
        <v>45</v>
      </c>
      <c r="C34" s="296">
        <v>7370</v>
      </c>
      <c r="D34" s="295">
        <f>400895.52*1.05</f>
        <v>420940.29600000003</v>
      </c>
      <c r="E34" s="295">
        <f>519235.59*1.05</f>
        <v>545197.36950000003</v>
      </c>
      <c r="F34" s="287">
        <f t="shared" si="0"/>
        <v>57115.372591587526</v>
      </c>
      <c r="G34" s="287">
        <f t="shared" si="1"/>
        <v>73975.219742198111</v>
      </c>
      <c r="H34" s="182"/>
    </row>
    <row r="35" spans="1:8" x14ac:dyDescent="0.25">
      <c r="A35" s="126"/>
      <c r="B35" s="269">
        <v>46</v>
      </c>
      <c r="C35" s="296">
        <v>7790</v>
      </c>
      <c r="D35" s="295">
        <f>423720.03*1.05</f>
        <v>444906.03150000004</v>
      </c>
      <c r="E35" s="295">
        <f>548795.69*1.05</f>
        <v>576235.47450000001</v>
      </c>
      <c r="F35" s="287">
        <f t="shared" si="0"/>
        <v>57112.45590500642</v>
      </c>
      <c r="G35" s="287">
        <f t="shared" si="1"/>
        <v>73971.177727856237</v>
      </c>
      <c r="H35" s="182"/>
    </row>
  </sheetData>
  <mergeCells count="7">
    <mergeCell ref="B2:E2"/>
    <mergeCell ref="F2:G3"/>
    <mergeCell ref="B3:E3"/>
    <mergeCell ref="B4:B5"/>
    <mergeCell ref="C4:C5"/>
    <mergeCell ref="D4:E4"/>
    <mergeCell ref="F4:G4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H49"/>
  <sheetViews>
    <sheetView view="pageBreakPreview" zoomScale="85" zoomScaleNormal="75" workbookViewId="0">
      <selection activeCell="D37" sqref="D37"/>
    </sheetView>
  </sheetViews>
  <sheetFormatPr defaultColWidth="8.88671875" defaultRowHeight="13.2" x14ac:dyDescent="0.25"/>
  <cols>
    <col min="1" max="1" width="11.33203125" style="24" customWidth="1"/>
    <col min="2" max="2" width="10.109375" style="3" customWidth="1"/>
    <col min="3" max="3" width="20.5546875" style="3" customWidth="1"/>
    <col min="4" max="4" width="11.5546875" style="3" bestFit="1" customWidth="1"/>
    <col min="5" max="5" width="12" style="3" customWidth="1"/>
    <col min="6" max="6" width="10.6640625" style="3" bestFit="1" customWidth="1"/>
    <col min="7" max="7" width="13.6640625" style="3" bestFit="1" customWidth="1"/>
    <col min="8" max="8" width="10.6640625" style="3" bestFit="1" customWidth="1"/>
    <col min="9" max="16384" width="8.88671875" style="3"/>
  </cols>
  <sheetData>
    <row r="1" spans="1:8" x14ac:dyDescent="0.25">
      <c r="G1" s="29">
        <v>41000</v>
      </c>
      <c r="H1" s="54" t="s">
        <v>466</v>
      </c>
    </row>
    <row r="2" spans="1:8" x14ac:dyDescent="0.25">
      <c r="B2" s="300" t="s">
        <v>140</v>
      </c>
      <c r="C2" s="301"/>
      <c r="D2" s="301"/>
      <c r="E2" s="302"/>
      <c r="F2" s="633" t="s">
        <v>139</v>
      </c>
      <c r="G2" s="560"/>
      <c r="H2" s="24"/>
    </row>
    <row r="3" spans="1:8" x14ac:dyDescent="0.25">
      <c r="B3" s="303" t="s">
        <v>141</v>
      </c>
      <c r="C3" s="304"/>
      <c r="D3" s="304"/>
      <c r="E3" s="305"/>
      <c r="F3" s="546"/>
      <c r="G3" s="563"/>
      <c r="H3" s="24"/>
    </row>
    <row r="4" spans="1:8" ht="28.95" customHeight="1" x14ac:dyDescent="0.25">
      <c r="B4" s="634" t="s">
        <v>104</v>
      </c>
      <c r="C4" s="634" t="s">
        <v>119</v>
      </c>
      <c r="D4" s="634" t="s">
        <v>501</v>
      </c>
      <c r="E4" s="634"/>
      <c r="F4" s="539" t="s">
        <v>500</v>
      </c>
      <c r="G4" s="539"/>
      <c r="H4" s="24"/>
    </row>
    <row r="5" spans="1:8" x14ac:dyDescent="0.25">
      <c r="A5" s="124"/>
      <c r="B5" s="539"/>
      <c r="C5" s="539"/>
      <c r="D5" s="418" t="s">
        <v>120</v>
      </c>
      <c r="E5" s="418" t="s">
        <v>264</v>
      </c>
      <c r="F5" s="418" t="s">
        <v>120</v>
      </c>
      <c r="G5" s="418" t="s">
        <v>264</v>
      </c>
      <c r="H5" s="24"/>
    </row>
    <row r="6" spans="1:8" x14ac:dyDescent="0.25">
      <c r="A6" s="161"/>
      <c r="B6" s="298">
        <v>5.8</v>
      </c>
      <c r="C6" s="298">
        <v>124</v>
      </c>
      <c r="D6" s="258">
        <f>16330.54*1.05</f>
        <v>17147.067000000003</v>
      </c>
      <c r="E6" s="258">
        <f>21671.62*1.05</f>
        <v>22755.201000000001</v>
      </c>
      <c r="F6" s="299">
        <f t="shared" ref="F6:F30" si="0">D6/C6*1000</f>
        <v>138282.79838709679</v>
      </c>
      <c r="G6" s="299">
        <f t="shared" ref="G6:G30" si="1">E6/C6*1000</f>
        <v>183509.68548387097</v>
      </c>
      <c r="H6" s="182"/>
    </row>
    <row r="7" spans="1:8" x14ac:dyDescent="0.25">
      <c r="A7" s="108"/>
      <c r="B7" s="298">
        <v>6.5</v>
      </c>
      <c r="C7" s="298">
        <v>157</v>
      </c>
      <c r="D7" s="258">
        <f>19264.72*1.05</f>
        <v>20227.956000000002</v>
      </c>
      <c r="E7" s="258">
        <f>25354.36*1.05</f>
        <v>26622.078000000001</v>
      </c>
      <c r="F7" s="299">
        <f t="shared" si="0"/>
        <v>128840.48407643315</v>
      </c>
      <c r="G7" s="299">
        <f t="shared" si="1"/>
        <v>169567.37579617833</v>
      </c>
      <c r="H7" s="182"/>
    </row>
    <row r="8" spans="1:8" x14ac:dyDescent="0.25">
      <c r="A8" s="108"/>
      <c r="B8" s="298">
        <v>8.5</v>
      </c>
      <c r="C8" s="298">
        <v>269</v>
      </c>
      <c r="D8" s="258">
        <f>28465.35*1.05</f>
        <v>29888.6175</v>
      </c>
      <c r="E8" s="258">
        <f>36938.05*1.05</f>
        <v>38784.952500000007</v>
      </c>
      <c r="F8" s="299">
        <f t="shared" si="0"/>
        <v>111110.10223048327</v>
      </c>
      <c r="G8" s="299">
        <f t="shared" si="1"/>
        <v>144181.97955390337</v>
      </c>
      <c r="H8" s="182"/>
    </row>
    <row r="9" spans="1:8" x14ac:dyDescent="0.25">
      <c r="A9" s="108"/>
      <c r="B9" s="298">
        <v>11.5</v>
      </c>
      <c r="C9" s="298">
        <v>468</v>
      </c>
      <c r="D9" s="258">
        <f>34512.06*1.05</f>
        <v>36237.663</v>
      </c>
      <c r="E9" s="258">
        <f>45074.86*1.05</f>
        <v>47328.603000000003</v>
      </c>
      <c r="F9" s="299">
        <f t="shared" si="0"/>
        <v>77430.903846153858</v>
      </c>
      <c r="G9" s="299">
        <f t="shared" si="1"/>
        <v>101129.49358974359</v>
      </c>
      <c r="H9" s="182"/>
    </row>
    <row r="10" spans="1:8" x14ac:dyDescent="0.25">
      <c r="A10" s="108"/>
      <c r="B10" s="298">
        <v>13.5</v>
      </c>
      <c r="C10" s="298">
        <v>662.5</v>
      </c>
      <c r="D10" s="258">
        <f>44620.03*1.05</f>
        <v>46851.031499999997</v>
      </c>
      <c r="E10" s="258">
        <f>58101.99*1.05</f>
        <v>61007.089500000002</v>
      </c>
      <c r="F10" s="299">
        <f t="shared" si="0"/>
        <v>70718.538113207542</v>
      </c>
      <c r="G10" s="299">
        <f t="shared" si="1"/>
        <v>92086.172830188691</v>
      </c>
      <c r="H10" s="182"/>
    </row>
    <row r="11" spans="1:8" x14ac:dyDescent="0.25">
      <c r="A11" s="108"/>
      <c r="B11" s="298">
        <v>15.5</v>
      </c>
      <c r="C11" s="298">
        <v>851.5</v>
      </c>
      <c r="D11" s="258">
        <f>56285.11*1.05</f>
        <v>59099.3655</v>
      </c>
      <c r="E11" s="258">
        <f>72919.99*1.05</f>
        <v>76565.989500000011</v>
      </c>
      <c r="F11" s="299">
        <f t="shared" si="0"/>
        <v>69406.183793305929</v>
      </c>
      <c r="G11" s="299">
        <f t="shared" si="1"/>
        <v>89918.954198473308</v>
      </c>
      <c r="H11" s="182"/>
    </row>
    <row r="12" spans="1:8" x14ac:dyDescent="0.25">
      <c r="A12" s="108"/>
      <c r="B12" s="298">
        <v>17</v>
      </c>
      <c r="C12" s="298">
        <v>1065</v>
      </c>
      <c r="D12" s="258">
        <f>70683.95*1.05</f>
        <v>74218.147500000006</v>
      </c>
      <c r="E12" s="258">
        <f>91547.04*1.05</f>
        <v>96124.391999999993</v>
      </c>
      <c r="F12" s="299">
        <f t="shared" si="0"/>
        <v>69688.401408450722</v>
      </c>
      <c r="G12" s="299">
        <f t="shared" si="1"/>
        <v>90257.645070422528</v>
      </c>
      <c r="H12" s="182"/>
    </row>
    <row r="13" spans="1:8" x14ac:dyDescent="0.25">
      <c r="A13" s="108"/>
      <c r="B13" s="298">
        <v>19.5</v>
      </c>
      <c r="C13" s="298">
        <v>1350</v>
      </c>
      <c r="D13" s="258">
        <f>83544.76*1.05</f>
        <v>87721.997999999992</v>
      </c>
      <c r="E13" s="258">
        <f>108198.6*1.05</f>
        <v>113608.53000000001</v>
      </c>
      <c r="F13" s="299">
        <f t="shared" si="0"/>
        <v>64979.257777777777</v>
      </c>
      <c r="G13" s="299">
        <f t="shared" si="1"/>
        <v>84154.466666666674</v>
      </c>
      <c r="H13" s="182"/>
    </row>
    <row r="14" spans="1:8" x14ac:dyDescent="0.25">
      <c r="A14" s="108"/>
      <c r="B14" s="298">
        <v>21.5</v>
      </c>
      <c r="C14" s="298">
        <v>1670</v>
      </c>
      <c r="D14" s="258">
        <f>97516.18*1.05</f>
        <v>102391.989</v>
      </c>
      <c r="E14" s="258">
        <f>126349.35*1.05</f>
        <v>132666.8175</v>
      </c>
      <c r="F14" s="299">
        <f t="shared" si="0"/>
        <v>61312.568263473055</v>
      </c>
      <c r="G14" s="299">
        <f t="shared" si="1"/>
        <v>79441.208083832331</v>
      </c>
      <c r="H14" s="182"/>
    </row>
    <row r="15" spans="1:8" ht="13.2" hidden="1" customHeight="1" x14ac:dyDescent="0.25">
      <c r="A15" s="108"/>
      <c r="B15" s="298">
        <v>22</v>
      </c>
      <c r="C15" s="298"/>
      <c r="D15" s="258">
        <f>103784.33*1.05</f>
        <v>108973.54650000001</v>
      </c>
      <c r="E15" s="258" t="e">
        <v>#DIV/0!</v>
      </c>
      <c r="F15" s="299" t="e">
        <f t="shared" si="0"/>
        <v>#DIV/0!</v>
      </c>
      <c r="G15" s="299" t="e">
        <f t="shared" si="1"/>
        <v>#DIV/0!</v>
      </c>
      <c r="H15" s="182"/>
    </row>
    <row r="16" spans="1:8" x14ac:dyDescent="0.25">
      <c r="A16" s="108"/>
      <c r="B16" s="298">
        <v>23</v>
      </c>
      <c r="C16" s="298">
        <v>1930</v>
      </c>
      <c r="D16" s="258">
        <f>110052.27*1.05</f>
        <v>115554.88350000001</v>
      </c>
      <c r="E16" s="258">
        <f>142595.06*1.05</f>
        <v>149724.81299999999</v>
      </c>
      <c r="F16" s="299">
        <f t="shared" si="0"/>
        <v>59872.996632124356</v>
      </c>
      <c r="G16" s="299">
        <f t="shared" si="1"/>
        <v>77577.623316062178</v>
      </c>
      <c r="H16" s="182"/>
    </row>
    <row r="17" spans="1:8" x14ac:dyDescent="0.25">
      <c r="A17" s="161"/>
      <c r="B17" s="298">
        <v>25</v>
      </c>
      <c r="C17" s="298">
        <v>2245</v>
      </c>
      <c r="D17" s="258">
        <f>126471.98*1.05</f>
        <v>132795.579</v>
      </c>
      <c r="E17" s="258">
        <f>165689.43*1.05</f>
        <v>173973.90150000001</v>
      </c>
      <c r="F17" s="299">
        <f t="shared" si="0"/>
        <v>59151.70556792873</v>
      </c>
      <c r="G17" s="299">
        <f t="shared" si="1"/>
        <v>77493.942761692655</v>
      </c>
      <c r="H17" s="182"/>
    </row>
    <row r="18" spans="1:8" x14ac:dyDescent="0.25">
      <c r="A18" s="161"/>
      <c r="B18" s="298">
        <v>27</v>
      </c>
      <c r="C18" s="298">
        <v>2650</v>
      </c>
      <c r="D18" s="258">
        <f>148542.58*1.05</f>
        <v>155969.709</v>
      </c>
      <c r="E18" s="258">
        <f>192444.19*1.05</f>
        <v>202066.3995</v>
      </c>
      <c r="F18" s="299">
        <f t="shared" si="0"/>
        <v>58856.493962264154</v>
      </c>
      <c r="G18" s="299">
        <f t="shared" si="1"/>
        <v>76251.471509433948</v>
      </c>
      <c r="H18" s="182"/>
    </row>
    <row r="19" spans="1:8" x14ac:dyDescent="0.25">
      <c r="A19" s="161"/>
      <c r="B19" s="298">
        <v>29</v>
      </c>
      <c r="C19" s="298">
        <v>3015</v>
      </c>
      <c r="D19" s="258">
        <f>167422.15*1.05</f>
        <v>175793.25750000001</v>
      </c>
      <c r="E19" s="258">
        <f>216914.43*1.05</f>
        <v>227760.15150000001</v>
      </c>
      <c r="F19" s="299">
        <f t="shared" si="0"/>
        <v>58306.221393034823</v>
      </c>
      <c r="G19" s="299">
        <f t="shared" si="1"/>
        <v>75542.338805970154</v>
      </c>
      <c r="H19" s="182"/>
    </row>
    <row r="20" spans="1:8" x14ac:dyDescent="0.25">
      <c r="A20" s="161"/>
      <c r="B20" s="298">
        <v>30.5</v>
      </c>
      <c r="C20" s="298">
        <v>3405</v>
      </c>
      <c r="D20" s="258">
        <f>188612.36*1.05</f>
        <v>198042.978</v>
      </c>
      <c r="E20" s="258">
        <f>244249.85*1.05</f>
        <v>256462.34250000003</v>
      </c>
      <c r="F20" s="299">
        <f t="shared" si="0"/>
        <v>58162.401762114539</v>
      </c>
      <c r="G20" s="299">
        <f t="shared" si="1"/>
        <v>75319.337004405301</v>
      </c>
      <c r="H20" s="182"/>
    </row>
    <row r="21" spans="1:8" x14ac:dyDescent="0.25">
      <c r="A21" s="161"/>
      <c r="B21" s="298">
        <v>33</v>
      </c>
      <c r="C21" s="298">
        <v>3905</v>
      </c>
      <c r="D21" s="258">
        <f>215044.34*1.05</f>
        <v>225796.557</v>
      </c>
      <c r="E21" s="258">
        <f>278463.95*1.05</f>
        <v>292387.14750000002</v>
      </c>
      <c r="F21" s="299">
        <f t="shared" si="0"/>
        <v>57822.421766965424</v>
      </c>
      <c r="G21" s="299">
        <f t="shared" si="1"/>
        <v>74875.069782330364</v>
      </c>
      <c r="H21" s="182"/>
    </row>
    <row r="22" spans="1:8" x14ac:dyDescent="0.25">
      <c r="A22" s="161"/>
      <c r="B22" s="298">
        <v>35</v>
      </c>
      <c r="C22" s="298">
        <v>4435</v>
      </c>
      <c r="D22" s="258">
        <f>241272.51*1.05</f>
        <v>253336.13550000003</v>
      </c>
      <c r="E22" s="258">
        <f>312566.91*1.05</f>
        <v>328195.25549999997</v>
      </c>
      <c r="F22" s="299">
        <f t="shared" si="0"/>
        <v>57122.014768883884</v>
      </c>
      <c r="G22" s="299">
        <f t="shared" si="1"/>
        <v>74001.185005636973</v>
      </c>
      <c r="H22" s="182"/>
    </row>
    <row r="23" spans="1:8" x14ac:dyDescent="0.25">
      <c r="A23" s="161"/>
      <c r="B23" s="298">
        <v>39</v>
      </c>
      <c r="C23" s="298">
        <v>5395</v>
      </c>
      <c r="D23" s="258">
        <f>292596.58*1.05</f>
        <v>307226.40900000004</v>
      </c>
      <c r="E23" s="258">
        <f>379146.99*1.05</f>
        <v>398104.3395</v>
      </c>
      <c r="F23" s="299">
        <f t="shared" si="0"/>
        <v>56946.507692307699</v>
      </c>
      <c r="G23" s="299">
        <f t="shared" si="1"/>
        <v>73791.351158480073</v>
      </c>
      <c r="H23" s="182"/>
    </row>
    <row r="24" spans="1:8" x14ac:dyDescent="0.25">
      <c r="A24" s="161"/>
      <c r="B24" s="298">
        <v>43</v>
      </c>
      <c r="C24" s="298">
        <v>6675</v>
      </c>
      <c r="D24" s="258">
        <f>344006.75*1.05</f>
        <v>361207.08750000002</v>
      </c>
      <c r="E24" s="258">
        <f>445668.89*1.05</f>
        <v>467952.33450000006</v>
      </c>
      <c r="F24" s="299">
        <f t="shared" si="0"/>
        <v>54113.421348314609</v>
      </c>
      <c r="G24" s="299">
        <f t="shared" si="1"/>
        <v>70105.218651685398</v>
      </c>
      <c r="H24" s="182"/>
    </row>
    <row r="25" spans="1:8" x14ac:dyDescent="0.25">
      <c r="A25" s="161"/>
      <c r="B25" s="298">
        <v>47</v>
      </c>
      <c r="C25" s="298">
        <v>7845</v>
      </c>
      <c r="D25" s="258">
        <f>404022.1*1.05</f>
        <v>424223.20500000002</v>
      </c>
      <c r="E25" s="258">
        <f>523269.03*1.05</f>
        <v>549432.48149999999</v>
      </c>
      <c r="F25" s="299">
        <f t="shared" si="0"/>
        <v>54075.615678776296</v>
      </c>
      <c r="G25" s="299">
        <f t="shared" si="1"/>
        <v>70036.007839388141</v>
      </c>
      <c r="H25" s="182"/>
    </row>
    <row r="26" spans="1:8" x14ac:dyDescent="0.25">
      <c r="A26" s="161"/>
      <c r="B26" s="298">
        <v>50</v>
      </c>
      <c r="C26" s="298">
        <v>9110</v>
      </c>
      <c r="D26" s="258">
        <f>468548.9*1.05</f>
        <v>491976.34500000003</v>
      </c>
      <c r="E26" s="258">
        <f>607041.83*1.05</f>
        <v>637393.92149999994</v>
      </c>
      <c r="F26" s="299">
        <f t="shared" si="0"/>
        <v>54003.989571899016</v>
      </c>
      <c r="G26" s="299">
        <f t="shared" si="1"/>
        <v>69966.40192096596</v>
      </c>
      <c r="H26" s="182"/>
    </row>
    <row r="27" spans="1:8" x14ac:dyDescent="0.25">
      <c r="A27" s="161"/>
      <c r="B27" s="298">
        <v>52</v>
      </c>
      <c r="C27" s="298">
        <v>9910</v>
      </c>
      <c r="D27" s="258">
        <f>508444.19*1.05</f>
        <v>533866.39950000006</v>
      </c>
      <c r="E27" s="258">
        <f>658869.56*1.05</f>
        <v>691813.03800000006</v>
      </c>
      <c r="F27" s="299">
        <f t="shared" si="0"/>
        <v>53871.483299697284</v>
      </c>
      <c r="G27" s="299">
        <f t="shared" si="1"/>
        <v>69809.590110998994</v>
      </c>
      <c r="H27" s="182"/>
    </row>
    <row r="28" spans="1:8" x14ac:dyDescent="0.25">
      <c r="A28" s="161"/>
      <c r="B28" s="298">
        <v>54</v>
      </c>
      <c r="C28" s="298">
        <v>10600</v>
      </c>
      <c r="D28" s="258">
        <f>542364.8*1.05</f>
        <v>569483.04</v>
      </c>
      <c r="E28" s="258">
        <f>702477.09*1.05</f>
        <v>737600.94449999998</v>
      </c>
      <c r="F28" s="299">
        <f t="shared" si="0"/>
        <v>53724.815094339625</v>
      </c>
      <c r="G28" s="299">
        <f t="shared" si="1"/>
        <v>69584.99476415095</v>
      </c>
      <c r="H28" s="182"/>
    </row>
    <row r="29" spans="1:8" x14ac:dyDescent="0.25">
      <c r="A29" s="161"/>
      <c r="B29" s="298">
        <v>56</v>
      </c>
      <c r="C29" s="298">
        <v>11450</v>
      </c>
      <c r="D29" s="258">
        <f>580796.85*1.05</f>
        <v>609836.6925</v>
      </c>
      <c r="E29" s="258">
        <f>752615.91*1.05</f>
        <v>790246.70550000004</v>
      </c>
      <c r="F29" s="299">
        <f t="shared" si="0"/>
        <v>53260.846506550217</v>
      </c>
      <c r="G29" s="299">
        <f t="shared" si="1"/>
        <v>69017.179519650657</v>
      </c>
      <c r="H29" s="182"/>
    </row>
    <row r="30" spans="1:8" x14ac:dyDescent="0.25">
      <c r="A30" s="161"/>
      <c r="B30" s="298">
        <v>58</v>
      </c>
      <c r="C30" s="298">
        <v>12050</v>
      </c>
      <c r="D30" s="258">
        <f>611103.76*1.05</f>
        <v>641658.94800000009</v>
      </c>
      <c r="E30" s="258">
        <f>791183.61*1.05</f>
        <v>830742.7905</v>
      </c>
      <c r="F30" s="299">
        <f t="shared" si="0"/>
        <v>53249.705228215775</v>
      </c>
      <c r="G30" s="299">
        <f t="shared" si="1"/>
        <v>68941.310414937761</v>
      </c>
      <c r="H30" s="182"/>
    </row>
    <row r="31" spans="1:8" x14ac:dyDescent="0.25">
      <c r="A31" s="161"/>
      <c r="B31" s="15"/>
      <c r="C31" s="15"/>
      <c r="D31" s="23"/>
      <c r="E31" s="23"/>
      <c r="F31" s="23"/>
      <c r="G31" s="23"/>
      <c r="H31" s="182"/>
    </row>
    <row r="32" spans="1:8" x14ac:dyDescent="0.25">
      <c r="A32" s="161"/>
      <c r="H32" s="182"/>
    </row>
    <row r="33" spans="1:8" x14ac:dyDescent="0.25">
      <c r="A33" s="161"/>
      <c r="H33" s="182"/>
    </row>
    <row r="34" spans="1:8" x14ac:dyDescent="0.25">
      <c r="A34" s="161"/>
      <c r="H34" s="182"/>
    </row>
    <row r="35" spans="1:8" x14ac:dyDescent="0.25">
      <c r="H35" s="24"/>
    </row>
    <row r="36" spans="1:8" x14ac:dyDescent="0.25">
      <c r="H36" s="24"/>
    </row>
    <row r="37" spans="1:8" ht="13.2" customHeight="1" x14ac:dyDescent="0.25">
      <c r="H37" s="24"/>
    </row>
    <row r="38" spans="1:8" ht="13.2" customHeight="1" x14ac:dyDescent="0.25">
      <c r="H38" s="24"/>
    </row>
    <row r="39" spans="1:8" ht="28.95" customHeight="1" x14ac:dyDescent="0.25">
      <c r="H39" s="24"/>
    </row>
    <row r="40" spans="1:8" x14ac:dyDescent="0.25">
      <c r="H40" s="24"/>
    </row>
    <row r="41" spans="1:8" x14ac:dyDescent="0.25">
      <c r="H41" s="24"/>
    </row>
    <row r="42" spans="1:8" x14ac:dyDescent="0.25">
      <c r="H42" s="24"/>
    </row>
    <row r="43" spans="1:8" x14ac:dyDescent="0.25">
      <c r="H43" s="24"/>
    </row>
    <row r="44" spans="1:8" x14ac:dyDescent="0.25">
      <c r="H44" s="24"/>
    </row>
    <row r="45" spans="1:8" x14ac:dyDescent="0.25">
      <c r="H45" s="24"/>
    </row>
    <row r="46" spans="1:8" x14ac:dyDescent="0.25">
      <c r="H46" s="24"/>
    </row>
    <row r="47" spans="1:8" x14ac:dyDescent="0.25">
      <c r="H47" s="24"/>
    </row>
    <row r="48" spans="1:8" ht="31.5" customHeight="1" x14ac:dyDescent="0.25">
      <c r="H48" s="24"/>
    </row>
    <row r="49" spans="8:8" ht="19.5" customHeight="1" x14ac:dyDescent="0.25">
      <c r="H49" s="24"/>
    </row>
  </sheetData>
  <mergeCells count="5">
    <mergeCell ref="F2:G3"/>
    <mergeCell ref="B4:B5"/>
    <mergeCell ref="C4:C5"/>
    <mergeCell ref="D4:E4"/>
    <mergeCell ref="F4:G4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H67"/>
  <sheetViews>
    <sheetView view="pageBreakPreview" topLeftCell="A11" zoomScale="85" zoomScaleNormal="75" workbookViewId="0">
      <selection activeCell="J50" sqref="J50"/>
    </sheetView>
  </sheetViews>
  <sheetFormatPr defaultColWidth="8.88671875" defaultRowHeight="13.2" x14ac:dyDescent="0.25"/>
  <cols>
    <col min="1" max="1" width="8.88671875" style="24"/>
    <col min="2" max="2" width="12" style="10" customWidth="1"/>
    <col min="3" max="3" width="21.6640625" style="10" customWidth="1"/>
    <col min="4" max="4" width="12.6640625" style="10" customWidth="1"/>
    <col min="5" max="5" width="12.5546875" style="10" customWidth="1"/>
    <col min="6" max="6" width="12" style="10" bestFit="1" customWidth="1"/>
    <col min="7" max="7" width="12.6640625" style="10" customWidth="1"/>
    <col min="8" max="8" width="9.5546875" style="10" bestFit="1" customWidth="1"/>
    <col min="9" max="16384" width="8.88671875" style="10"/>
  </cols>
  <sheetData>
    <row r="1" spans="1:8" x14ac:dyDescent="0.25">
      <c r="G1" s="29">
        <v>41091</v>
      </c>
      <c r="H1" s="54" t="s">
        <v>466</v>
      </c>
    </row>
    <row r="2" spans="1:8" x14ac:dyDescent="0.25">
      <c r="B2" s="635" t="s">
        <v>140</v>
      </c>
      <c r="C2" s="636"/>
      <c r="D2" s="636"/>
      <c r="E2" s="637"/>
      <c r="F2" s="560" t="s">
        <v>142</v>
      </c>
      <c r="G2" s="560"/>
    </row>
    <row r="3" spans="1:8" x14ac:dyDescent="0.25">
      <c r="B3" s="638" t="s">
        <v>143</v>
      </c>
      <c r="C3" s="639"/>
      <c r="D3" s="639"/>
      <c r="E3" s="640"/>
      <c r="F3" s="560"/>
      <c r="G3" s="560"/>
    </row>
    <row r="4" spans="1:8" ht="29.4" customHeight="1" x14ac:dyDescent="0.25">
      <c r="B4" s="539" t="s">
        <v>104</v>
      </c>
      <c r="C4" s="539" t="s">
        <v>119</v>
      </c>
      <c r="D4" s="539" t="s">
        <v>501</v>
      </c>
      <c r="E4" s="539"/>
      <c r="F4" s="539" t="s">
        <v>500</v>
      </c>
      <c r="G4" s="539"/>
    </row>
    <row r="5" spans="1:8" x14ac:dyDescent="0.25">
      <c r="A5" s="124"/>
      <c r="B5" s="539"/>
      <c r="C5" s="539"/>
      <c r="D5" s="466" t="s">
        <v>120</v>
      </c>
      <c r="E5" s="466" t="s">
        <v>264</v>
      </c>
      <c r="F5" s="466" t="s">
        <v>120</v>
      </c>
      <c r="G5" s="466" t="s">
        <v>264</v>
      </c>
    </row>
    <row r="6" spans="1:8" ht="15" customHeight="1" x14ac:dyDescent="0.25">
      <c r="A6" s="162"/>
      <c r="B6" s="467">
        <v>6.4</v>
      </c>
      <c r="C6" s="467">
        <v>167.7</v>
      </c>
      <c r="D6" s="258">
        <f>20855.57*1.05</f>
        <v>21898.3485</v>
      </c>
      <c r="E6" s="258">
        <f>27007.6*1.05</f>
        <v>28357.98</v>
      </c>
      <c r="F6" s="299">
        <f t="shared" ref="F6:F27" si="0">D6/C6*1000</f>
        <v>130580.49194991056</v>
      </c>
      <c r="G6" s="299">
        <f t="shared" ref="G6:G27" si="1">E6/C6*1000</f>
        <v>169099.46332737029</v>
      </c>
      <c r="H6" s="182"/>
    </row>
    <row r="7" spans="1:8" ht="15" customHeight="1" x14ac:dyDescent="0.25">
      <c r="A7" s="159"/>
      <c r="B7" s="467">
        <v>7.7</v>
      </c>
      <c r="C7" s="467">
        <v>238.5</v>
      </c>
      <c r="D7" s="258">
        <f>24288.98*1.05</f>
        <v>25503.429</v>
      </c>
      <c r="E7" s="258">
        <f>31461.84*1.05</f>
        <v>33034.932000000001</v>
      </c>
      <c r="F7" s="299">
        <f t="shared" si="0"/>
        <v>106932.61635220126</v>
      </c>
      <c r="G7" s="299">
        <f t="shared" si="1"/>
        <v>138511.24528301886</v>
      </c>
      <c r="H7" s="182"/>
    </row>
    <row r="8" spans="1:8" ht="15" customHeight="1" x14ac:dyDescent="0.25">
      <c r="A8" s="159"/>
      <c r="B8" s="467">
        <v>8.6</v>
      </c>
      <c r="C8" s="467">
        <v>315.8</v>
      </c>
      <c r="D8" s="258">
        <f>29133.07*1.05</f>
        <v>30589.7235</v>
      </c>
      <c r="E8" s="258">
        <f>37739.92*1.05</f>
        <v>39626.915999999997</v>
      </c>
      <c r="F8" s="299">
        <f t="shared" si="0"/>
        <v>96864.228942368587</v>
      </c>
      <c r="G8" s="299">
        <f t="shared" si="1"/>
        <v>125481.05129829004</v>
      </c>
      <c r="H8" s="182"/>
    </row>
    <row r="9" spans="1:8" ht="15" customHeight="1" x14ac:dyDescent="0.25">
      <c r="A9" s="159"/>
      <c r="B9" s="467">
        <v>10</v>
      </c>
      <c r="C9" s="467">
        <v>421.5</v>
      </c>
      <c r="D9" s="258">
        <f>34034.79*1.05</f>
        <v>35736.529500000004</v>
      </c>
      <c r="E9" s="258">
        <f>44075.34*1.05</f>
        <v>46279.106999999996</v>
      </c>
      <c r="F9" s="299">
        <f t="shared" si="0"/>
        <v>84784.174377224204</v>
      </c>
      <c r="G9" s="299">
        <f t="shared" si="1"/>
        <v>109796.22064056939</v>
      </c>
      <c r="H9" s="182"/>
    </row>
    <row r="10" spans="1:8" ht="15" customHeight="1" x14ac:dyDescent="0.25">
      <c r="A10" s="159"/>
      <c r="B10" s="467">
        <v>11.5</v>
      </c>
      <c r="C10" s="467">
        <v>529.5</v>
      </c>
      <c r="D10" s="258">
        <f>38393.52*1.05</f>
        <v>40313.195999999996</v>
      </c>
      <c r="E10" s="258">
        <f>49704.98*1.05</f>
        <v>52190.229000000007</v>
      </c>
      <c r="F10" s="299">
        <f t="shared" si="0"/>
        <v>76134.458923512735</v>
      </c>
      <c r="G10" s="299">
        <f t="shared" si="1"/>
        <v>98565.1161473088</v>
      </c>
      <c r="H10" s="182"/>
    </row>
    <row r="11" spans="1:8" ht="15" customHeight="1" x14ac:dyDescent="0.25">
      <c r="A11" s="159"/>
      <c r="B11" s="467">
        <v>12.5</v>
      </c>
      <c r="C11" s="467">
        <v>650</v>
      </c>
      <c r="D11" s="258">
        <f>45776.16*1.05</f>
        <v>48064.968000000008</v>
      </c>
      <c r="E11" s="258">
        <f>59277.3*1.05</f>
        <v>62241.165000000008</v>
      </c>
      <c r="F11" s="299">
        <f t="shared" si="0"/>
        <v>73946.104615384626</v>
      </c>
      <c r="G11" s="299">
        <f t="shared" si="1"/>
        <v>95755.638461538474</v>
      </c>
      <c r="H11" s="182"/>
    </row>
    <row r="12" spans="1:8" ht="15" customHeight="1" x14ac:dyDescent="0.25">
      <c r="A12" s="159"/>
      <c r="B12" s="467">
        <v>14</v>
      </c>
      <c r="C12" s="467">
        <v>782.5</v>
      </c>
      <c r="D12" s="258">
        <f>54332.2*1.05</f>
        <v>57048.81</v>
      </c>
      <c r="E12" s="258">
        <f>70342.94*1.05</f>
        <v>73860.087</v>
      </c>
      <c r="F12" s="299">
        <f t="shared" si="0"/>
        <v>72905.827476038336</v>
      </c>
      <c r="G12" s="299">
        <f t="shared" si="1"/>
        <v>94389.887539936099</v>
      </c>
      <c r="H12" s="182"/>
    </row>
    <row r="13" spans="1:8" ht="15" customHeight="1" x14ac:dyDescent="0.25">
      <c r="A13" s="159"/>
      <c r="B13" s="467">
        <v>15</v>
      </c>
      <c r="C13" s="467">
        <v>927.6</v>
      </c>
      <c r="D13" s="258">
        <f>62727.34*1.05</f>
        <v>65863.706999999995</v>
      </c>
      <c r="E13" s="258">
        <f>81280.95*1.05</f>
        <v>85344.997499999998</v>
      </c>
      <c r="F13" s="299">
        <f t="shared" si="0"/>
        <v>71004.42755498059</v>
      </c>
      <c r="G13" s="299">
        <f t="shared" si="1"/>
        <v>92006.25</v>
      </c>
      <c r="H13" s="182"/>
    </row>
    <row r="14" spans="1:8" ht="15" customHeight="1" x14ac:dyDescent="0.25">
      <c r="A14" s="159"/>
      <c r="B14" s="467">
        <v>16.5</v>
      </c>
      <c r="C14" s="467">
        <v>1085</v>
      </c>
      <c r="D14" s="258">
        <f>71409.61*1.05</f>
        <v>74980.090500000006</v>
      </c>
      <c r="E14" s="258">
        <f>92464.24*1.05</f>
        <v>97087.452000000005</v>
      </c>
      <c r="F14" s="299">
        <f t="shared" si="0"/>
        <v>69106.074193548397</v>
      </c>
      <c r="G14" s="299">
        <f t="shared" si="1"/>
        <v>89481.522580645164</v>
      </c>
      <c r="H14" s="182"/>
    </row>
    <row r="15" spans="1:8" ht="15" customHeight="1" x14ac:dyDescent="0.25">
      <c r="A15" s="159"/>
      <c r="B15" s="467">
        <v>17.5</v>
      </c>
      <c r="C15" s="467">
        <v>1255</v>
      </c>
      <c r="D15" s="258">
        <f>78612.93*1.05</f>
        <v>82543.576499999996</v>
      </c>
      <c r="E15" s="258">
        <f>101834.45*1.05</f>
        <v>106926.1725</v>
      </c>
      <c r="F15" s="299">
        <f t="shared" si="0"/>
        <v>65771.77410358566</v>
      </c>
      <c r="G15" s="299">
        <f t="shared" si="1"/>
        <v>85200.13745019921</v>
      </c>
      <c r="H15" s="182"/>
    </row>
    <row r="16" spans="1:8" ht="15" customHeight="1" x14ac:dyDescent="0.25">
      <c r="A16" s="159"/>
      <c r="B16" s="467">
        <v>19</v>
      </c>
      <c r="C16" s="467">
        <v>1485</v>
      </c>
      <c r="D16" s="258">
        <f>90886.2*1.05</f>
        <v>95430.51</v>
      </c>
      <c r="E16" s="258">
        <f>117731.4*1.05</f>
        <v>123617.97</v>
      </c>
      <c r="F16" s="299">
        <f t="shared" si="0"/>
        <v>64262.969696969689</v>
      </c>
      <c r="G16" s="299">
        <f t="shared" si="1"/>
        <v>83244.42424242424</v>
      </c>
      <c r="H16" s="182"/>
    </row>
    <row r="17" spans="1:8" ht="15" customHeight="1" x14ac:dyDescent="0.25">
      <c r="A17" s="159"/>
      <c r="B17" s="467">
        <v>20.5</v>
      </c>
      <c r="C17" s="467">
        <v>1681</v>
      </c>
      <c r="D17" s="258">
        <f>103003.41*1.05</f>
        <v>108153.58050000001</v>
      </c>
      <c r="E17" s="258">
        <f>133469.87*1.05</f>
        <v>140143.36350000001</v>
      </c>
      <c r="F17" s="299">
        <f t="shared" si="0"/>
        <v>64338.834324806667</v>
      </c>
      <c r="G17" s="299">
        <f t="shared" si="1"/>
        <v>83369.044318857836</v>
      </c>
      <c r="H17" s="182"/>
    </row>
    <row r="18" spans="1:8" ht="15" customHeight="1" x14ac:dyDescent="0.25">
      <c r="A18" s="159"/>
      <c r="B18" s="467">
        <v>21.5</v>
      </c>
      <c r="C18" s="467">
        <v>1890</v>
      </c>
      <c r="D18" s="258">
        <f>113667.24*1.05</f>
        <v>119350.60200000001</v>
      </c>
      <c r="E18" s="258">
        <f>147184.19*1.05</f>
        <v>154543.3995</v>
      </c>
      <c r="F18" s="299">
        <f t="shared" si="0"/>
        <v>63148.466666666674</v>
      </c>
      <c r="G18" s="299">
        <f t="shared" si="1"/>
        <v>81768.994444444441</v>
      </c>
      <c r="H18" s="182"/>
    </row>
    <row r="19" spans="1:8" ht="15" customHeight="1" x14ac:dyDescent="0.25">
      <c r="A19" s="159"/>
      <c r="B19" s="467">
        <v>22.5</v>
      </c>
      <c r="C19" s="467">
        <v>2115</v>
      </c>
      <c r="D19" s="258">
        <f>120390.8*1.05</f>
        <v>126410.34000000001</v>
      </c>
      <c r="E19" s="258">
        <f>155871.79*1.05</f>
        <v>163665.37950000001</v>
      </c>
      <c r="F19" s="299">
        <f t="shared" si="0"/>
        <v>59768.482269503547</v>
      </c>
      <c r="G19" s="299">
        <f t="shared" si="1"/>
        <v>77383.158156028367</v>
      </c>
      <c r="H19" s="182"/>
    </row>
    <row r="20" spans="1:8" ht="15" customHeight="1" x14ac:dyDescent="0.25">
      <c r="A20" s="159"/>
      <c r="B20" s="467">
        <v>25</v>
      </c>
      <c r="C20" s="467">
        <v>2560</v>
      </c>
      <c r="D20" s="258">
        <f>145277.04*1.05</f>
        <v>152540.89200000002</v>
      </c>
      <c r="E20" s="258">
        <f>188176.13*1.05</f>
        <v>197584.93650000001</v>
      </c>
      <c r="F20" s="299">
        <f t="shared" si="0"/>
        <v>59586.285937500012</v>
      </c>
      <c r="G20" s="299">
        <f t="shared" si="1"/>
        <v>77181.615820312494</v>
      </c>
      <c r="H20" s="182"/>
    </row>
    <row r="21" spans="1:8" ht="15" customHeight="1" x14ac:dyDescent="0.25">
      <c r="A21" s="159"/>
      <c r="B21" s="467">
        <v>27.5</v>
      </c>
      <c r="C21" s="467">
        <v>3050</v>
      </c>
      <c r="D21" s="258">
        <f>172123.59*1.05</f>
        <v>180729.76949999999</v>
      </c>
      <c r="E21" s="258">
        <f>222858.27*1.05</f>
        <v>234001.18349999998</v>
      </c>
      <c r="F21" s="299">
        <f t="shared" si="0"/>
        <v>59255.662131147539</v>
      </c>
      <c r="G21" s="299">
        <f t="shared" si="1"/>
        <v>76721.699508196718</v>
      </c>
      <c r="H21" s="182"/>
    </row>
    <row r="22" spans="1:8" ht="15" customHeight="1" x14ac:dyDescent="0.25">
      <c r="A22" s="159"/>
      <c r="B22" s="467">
        <v>29.5</v>
      </c>
      <c r="C22" s="467">
        <v>3630</v>
      </c>
      <c r="D22" s="258">
        <f>204924.48*1.05</f>
        <v>215170.70400000003</v>
      </c>
      <c r="E22" s="258">
        <f>265457.82*1.05</f>
        <v>278730.71100000001</v>
      </c>
      <c r="F22" s="299">
        <f t="shared" si="0"/>
        <v>59275.676033057855</v>
      </c>
      <c r="G22" s="299">
        <f t="shared" si="1"/>
        <v>76785.319834710754</v>
      </c>
      <c r="H22" s="182"/>
    </row>
    <row r="23" spans="1:8" ht="15" customHeight="1" x14ac:dyDescent="0.25">
      <c r="A23" s="159"/>
      <c r="B23" s="467">
        <v>31.5</v>
      </c>
      <c r="C23" s="467">
        <v>4251</v>
      </c>
      <c r="D23" s="258">
        <f>238399.78*1.05</f>
        <v>250319.769</v>
      </c>
      <c r="E23" s="258">
        <f>308911.39*1.05</f>
        <v>324356.95950000006</v>
      </c>
      <c r="F23" s="299">
        <f t="shared" si="0"/>
        <v>58884.913902611152</v>
      </c>
      <c r="G23" s="299">
        <f t="shared" si="1"/>
        <v>76301.331333803828</v>
      </c>
      <c r="H23" s="182"/>
    </row>
    <row r="24" spans="1:8" ht="15" customHeight="1" x14ac:dyDescent="0.25">
      <c r="A24" s="159"/>
      <c r="B24" s="467">
        <v>34</v>
      </c>
      <c r="C24" s="467">
        <v>4923</v>
      </c>
      <c r="D24" s="258">
        <f>275966.38*1.05</f>
        <v>289764.69900000002</v>
      </c>
      <c r="E24" s="258">
        <f>357423.59*1.05</f>
        <v>375294.76950000005</v>
      </c>
      <c r="F24" s="299">
        <f t="shared" si="0"/>
        <v>58859.37416209629</v>
      </c>
      <c r="G24" s="299">
        <f t="shared" si="1"/>
        <v>76232.941194393672</v>
      </c>
      <c r="H24" s="182"/>
    </row>
    <row r="25" spans="1:8" ht="15" customHeight="1" x14ac:dyDescent="0.25">
      <c r="A25" s="159"/>
      <c r="B25" s="467">
        <v>35.5</v>
      </c>
      <c r="C25" s="467">
        <v>5415</v>
      </c>
      <c r="D25" s="258">
        <f>302110.23*1.05</f>
        <v>317215.7415</v>
      </c>
      <c r="E25" s="258">
        <f>391489.7*1.05</f>
        <v>411064.18500000006</v>
      </c>
      <c r="F25" s="299">
        <f t="shared" si="0"/>
        <v>58580.931024930745</v>
      </c>
      <c r="G25" s="299">
        <f t="shared" si="1"/>
        <v>75912.130193905818</v>
      </c>
      <c r="H25" s="182"/>
    </row>
    <row r="26" spans="1:8" ht="15" customHeight="1" x14ac:dyDescent="0.25">
      <c r="A26" s="159"/>
      <c r="B26" s="467">
        <v>38</v>
      </c>
      <c r="C26" s="467">
        <v>5935</v>
      </c>
      <c r="D26" s="258">
        <f>330819.82*1.05</f>
        <v>347360.81100000005</v>
      </c>
      <c r="E26" s="258">
        <f>428607.24*1.05</f>
        <v>450037.60200000001</v>
      </c>
      <c r="F26" s="299">
        <f t="shared" si="0"/>
        <v>58527.516596461675</v>
      </c>
      <c r="G26" s="299">
        <f t="shared" si="1"/>
        <v>75827.734119629327</v>
      </c>
      <c r="H26" s="182"/>
    </row>
    <row r="27" spans="1:8" ht="15" customHeight="1" x14ac:dyDescent="0.25">
      <c r="A27" s="159"/>
      <c r="B27" s="467">
        <v>40.5</v>
      </c>
      <c r="C27" s="467">
        <v>6723</v>
      </c>
      <c r="D27" s="258">
        <f>372071.38*1.05</f>
        <v>390674.94900000002</v>
      </c>
      <c r="E27" s="258">
        <v>0</v>
      </c>
      <c r="F27" s="299">
        <f t="shared" si="0"/>
        <v>58110.211066488177</v>
      </c>
      <c r="G27" s="299">
        <f t="shared" si="1"/>
        <v>0</v>
      </c>
      <c r="H27" s="182"/>
    </row>
    <row r="28" spans="1:8" ht="15" customHeight="1" x14ac:dyDescent="0.25">
      <c r="A28" s="159"/>
      <c r="B28" s="20"/>
      <c r="C28" s="20"/>
      <c r="D28" s="21"/>
      <c r="E28" s="21"/>
      <c r="F28" s="21"/>
      <c r="G28" s="21"/>
      <c r="H28" s="182"/>
    </row>
    <row r="29" spans="1:8" ht="15" customHeight="1" thickBot="1" x14ac:dyDescent="0.3">
      <c r="A29" s="159"/>
      <c r="B29" s="20"/>
      <c r="C29" s="20"/>
      <c r="D29" s="21"/>
      <c r="E29" s="21"/>
      <c r="F29" s="21"/>
      <c r="G29" s="29">
        <v>41000</v>
      </c>
      <c r="H29" s="182"/>
    </row>
    <row r="30" spans="1:8" x14ac:dyDescent="0.25">
      <c r="B30" s="641" t="s">
        <v>132</v>
      </c>
      <c r="C30" s="642"/>
      <c r="D30" s="642"/>
      <c r="E30" s="642"/>
      <c r="F30" s="643" t="s">
        <v>144</v>
      </c>
      <c r="G30" s="644"/>
      <c r="H30" s="74"/>
    </row>
    <row r="31" spans="1:8" ht="15" customHeight="1" thickBot="1" x14ac:dyDescent="0.3">
      <c r="B31" s="647" t="s">
        <v>145</v>
      </c>
      <c r="C31" s="648"/>
      <c r="D31" s="648"/>
      <c r="E31" s="648"/>
      <c r="F31" s="645"/>
      <c r="G31" s="646"/>
      <c r="H31" s="74"/>
    </row>
    <row r="32" spans="1:8" ht="13.2" hidden="1" customHeight="1" x14ac:dyDescent="0.25">
      <c r="B32" s="649" t="s">
        <v>104</v>
      </c>
      <c r="C32" s="649" t="s">
        <v>119</v>
      </c>
      <c r="D32" s="650" t="s">
        <v>501</v>
      </c>
      <c r="E32" s="651"/>
      <c r="F32" s="650" t="s">
        <v>500</v>
      </c>
      <c r="G32" s="651"/>
      <c r="H32" s="74"/>
    </row>
    <row r="33" spans="2:8" ht="13.2" hidden="1" customHeight="1" x14ac:dyDescent="0.25">
      <c r="B33" s="649"/>
      <c r="C33" s="649"/>
      <c r="D33" s="2" t="s">
        <v>120</v>
      </c>
      <c r="E33" s="2" t="s">
        <v>264</v>
      </c>
      <c r="F33" s="2" t="s">
        <v>120</v>
      </c>
      <c r="G33" s="2" t="s">
        <v>264</v>
      </c>
      <c r="H33" s="74"/>
    </row>
    <row r="34" spans="2:8" ht="13.95" hidden="1" customHeight="1" x14ac:dyDescent="0.25">
      <c r="B34" s="12">
        <v>28.5</v>
      </c>
      <c r="C34" s="1">
        <v>2495</v>
      </c>
      <c r="D34" s="7" t="e">
        <v>#REF!</v>
      </c>
      <c r="E34" s="7" t="e">
        <v>#REF!</v>
      </c>
      <c r="F34" s="7" t="e">
        <v>#REF!</v>
      </c>
      <c r="G34" s="7" t="e">
        <v>#REF!</v>
      </c>
      <c r="H34" s="74"/>
    </row>
    <row r="35" spans="2:8" ht="28.95" hidden="1" customHeight="1" x14ac:dyDescent="0.25">
      <c r="B35" s="12">
        <v>38</v>
      </c>
      <c r="C35" s="1">
        <v>4305</v>
      </c>
      <c r="D35" s="7" t="e">
        <v>#REF!</v>
      </c>
      <c r="E35" s="7" t="e">
        <v>#REF!</v>
      </c>
      <c r="F35" s="7" t="e">
        <v>#REF!</v>
      </c>
      <c r="G35" s="7" t="e">
        <v>#REF!</v>
      </c>
      <c r="H35" s="74"/>
    </row>
    <row r="36" spans="2:8" ht="13.2" hidden="1" customHeight="1" x14ac:dyDescent="0.25">
      <c r="B36" s="310">
        <v>46</v>
      </c>
      <c r="C36" s="311">
        <v>6240</v>
      </c>
      <c r="D36" s="83" t="e">
        <v>#REF!</v>
      </c>
      <c r="E36" s="83" t="e">
        <v>#REF!</v>
      </c>
      <c r="F36" s="83" t="e">
        <v>#REF!</v>
      </c>
      <c r="G36" s="83" t="e">
        <v>#REF!</v>
      </c>
      <c r="H36" s="74"/>
    </row>
    <row r="37" spans="2:8" ht="15" hidden="1" customHeight="1" x14ac:dyDescent="0.25">
      <c r="B37" s="635" t="s">
        <v>463</v>
      </c>
      <c r="C37" s="652"/>
      <c r="D37" s="652"/>
      <c r="E37" s="653"/>
      <c r="F37" s="560" t="s">
        <v>462</v>
      </c>
      <c r="G37" s="560"/>
      <c r="H37" s="74"/>
    </row>
    <row r="38" spans="2:8" ht="15" hidden="1" customHeight="1" x14ac:dyDescent="0.25">
      <c r="B38" s="638" t="s">
        <v>464</v>
      </c>
      <c r="C38" s="654"/>
      <c r="D38" s="654"/>
      <c r="E38" s="655"/>
      <c r="F38" s="560"/>
      <c r="G38" s="560"/>
      <c r="H38" s="74"/>
    </row>
    <row r="39" spans="2:8" ht="15" hidden="1" customHeight="1" x14ac:dyDescent="0.25">
      <c r="B39" s="656" t="s">
        <v>104</v>
      </c>
      <c r="C39" s="656" t="s">
        <v>119</v>
      </c>
      <c r="D39" s="657" t="s">
        <v>501</v>
      </c>
      <c r="E39" s="657"/>
      <c r="F39" s="657" t="s">
        <v>502</v>
      </c>
      <c r="G39" s="657"/>
      <c r="H39" s="74"/>
    </row>
    <row r="40" spans="2:8" x14ac:dyDescent="0.25">
      <c r="B40" s="656"/>
      <c r="C40" s="656"/>
      <c r="D40" s="306" t="s">
        <v>120</v>
      </c>
      <c r="E40" s="306" t="s">
        <v>264</v>
      </c>
      <c r="F40" s="306" t="s">
        <v>120</v>
      </c>
      <c r="G40" s="306" t="s">
        <v>264</v>
      </c>
      <c r="H40" s="74"/>
    </row>
    <row r="41" spans="2:8" x14ac:dyDescent="0.25">
      <c r="B41" s="308">
        <v>13.5</v>
      </c>
      <c r="C41" s="309">
        <v>534</v>
      </c>
      <c r="D41" s="258">
        <f>58918.42*1.05</f>
        <v>61864.341</v>
      </c>
      <c r="E41" s="258">
        <f>76349.41*1.05</f>
        <v>80166.880500000014</v>
      </c>
      <c r="F41" s="299">
        <f t="shared" ref="F41:F58" si="2">D41/C41*1000</f>
        <v>115850.82584269663</v>
      </c>
      <c r="G41" s="299">
        <f t="shared" ref="G41:G58" si="3">E41/C41*1000</f>
        <v>150125.24438202247</v>
      </c>
      <c r="H41" s="74"/>
    </row>
    <row r="42" spans="2:8" x14ac:dyDescent="0.25">
      <c r="B42" s="308">
        <v>15</v>
      </c>
      <c r="C42" s="309">
        <v>721.5</v>
      </c>
      <c r="D42" s="258">
        <f>77182.02*1.05</f>
        <v>81041.121000000014</v>
      </c>
      <c r="E42" s="258">
        <f>100018.04*1.05</f>
        <v>105018.942</v>
      </c>
      <c r="F42" s="299">
        <f t="shared" si="2"/>
        <v>112323.10602910604</v>
      </c>
      <c r="G42" s="299">
        <f t="shared" si="3"/>
        <v>145556.39916839916</v>
      </c>
      <c r="H42" s="74"/>
    </row>
    <row r="43" spans="2:8" x14ac:dyDescent="0.25">
      <c r="B43" s="308">
        <v>17</v>
      </c>
      <c r="C43" s="309">
        <v>889.5</v>
      </c>
      <c r="D43" s="258">
        <f>87628.04*1.05</f>
        <v>92009.441999999995</v>
      </c>
      <c r="E43" s="258">
        <f>113554.05*1.05</f>
        <v>119231.7525</v>
      </c>
      <c r="F43" s="299">
        <f t="shared" si="2"/>
        <v>103439.50758853287</v>
      </c>
      <c r="G43" s="299">
        <f t="shared" si="3"/>
        <v>134043.56661045531</v>
      </c>
      <c r="H43" s="74"/>
    </row>
    <row r="44" spans="2:8" x14ac:dyDescent="0.25">
      <c r="B44" s="308">
        <v>19</v>
      </c>
      <c r="C44" s="309">
        <v>1075</v>
      </c>
      <c r="D44" s="258">
        <f>99102.31*1.05</f>
        <v>104057.4255</v>
      </c>
      <c r="E44" s="258">
        <f>128422.55*1.05</f>
        <v>134843.67750000002</v>
      </c>
      <c r="F44" s="299">
        <f t="shared" si="2"/>
        <v>96797.605116279068</v>
      </c>
      <c r="G44" s="299">
        <f t="shared" si="3"/>
        <v>125435.97906976746</v>
      </c>
      <c r="H44" s="182"/>
    </row>
    <row r="45" spans="2:8" x14ac:dyDescent="0.25">
      <c r="B45" s="308">
        <v>21</v>
      </c>
      <c r="C45" s="309">
        <v>1335</v>
      </c>
      <c r="D45" s="258">
        <f>116677.95*1.05</f>
        <v>122511.8475</v>
      </c>
      <c r="E45" s="258">
        <f>151063.67*1.05</f>
        <v>158616.85350000003</v>
      </c>
      <c r="F45" s="299">
        <f t="shared" si="2"/>
        <v>91769.174157303365</v>
      </c>
      <c r="G45" s="299">
        <f t="shared" si="3"/>
        <v>118814.12247191014</v>
      </c>
      <c r="H45" s="182"/>
    </row>
    <row r="46" spans="2:8" x14ac:dyDescent="0.25">
      <c r="B46" s="308">
        <v>23</v>
      </c>
      <c r="C46" s="309">
        <v>1625</v>
      </c>
      <c r="D46" s="258">
        <f>134253.62*1.05</f>
        <v>140966.30100000001</v>
      </c>
      <c r="E46" s="258">
        <f>173974.63*1.05</f>
        <v>182673.3615</v>
      </c>
      <c r="F46" s="299">
        <f t="shared" si="2"/>
        <v>86748.492923076919</v>
      </c>
      <c r="G46" s="299">
        <f t="shared" si="3"/>
        <v>112414.37630769231</v>
      </c>
      <c r="H46" s="182"/>
    </row>
    <row r="47" spans="2:8" ht="15" customHeight="1" x14ac:dyDescent="0.25">
      <c r="B47" s="298">
        <v>25</v>
      </c>
      <c r="C47" s="309">
        <v>1870</v>
      </c>
      <c r="D47" s="258">
        <f>154334.47*1.05</f>
        <v>162051.19349999999</v>
      </c>
      <c r="E47" s="258">
        <f>199995.61*1.05</f>
        <v>209995.39050000001</v>
      </c>
      <c r="F47" s="299">
        <f t="shared" si="2"/>
        <v>86658.392245989307</v>
      </c>
      <c r="G47" s="299">
        <f t="shared" si="3"/>
        <v>112297.00026737968</v>
      </c>
      <c r="H47" s="182"/>
    </row>
    <row r="48" spans="2:8" x14ac:dyDescent="0.25">
      <c r="B48" s="308">
        <v>26.5</v>
      </c>
      <c r="C48" s="309">
        <v>2135</v>
      </c>
      <c r="D48" s="258">
        <f>165657.05*1.05</f>
        <v>173939.9025</v>
      </c>
      <c r="E48" s="258">
        <f>214669.02*1.05</f>
        <v>225402.47099999999</v>
      </c>
      <c r="F48" s="299">
        <f t="shared" si="2"/>
        <v>81470.680327868846</v>
      </c>
      <c r="G48" s="299">
        <f t="shared" si="3"/>
        <v>105574.92786885245</v>
      </c>
      <c r="H48" s="182"/>
    </row>
    <row r="49" spans="2:8" x14ac:dyDescent="0.25">
      <c r="B49" s="308">
        <v>28.5</v>
      </c>
      <c r="C49" s="309">
        <v>2495</v>
      </c>
      <c r="D49" s="258">
        <f>197666.32*1.05</f>
        <v>207549.63600000003</v>
      </c>
      <c r="E49" s="258">
        <f>255910.1*1.05</f>
        <v>268705.60500000004</v>
      </c>
      <c r="F49" s="299">
        <f t="shared" si="2"/>
        <v>83186.226853707427</v>
      </c>
      <c r="G49" s="299">
        <f t="shared" si="3"/>
        <v>107697.63727454911</v>
      </c>
      <c r="H49" s="182"/>
    </row>
    <row r="50" spans="2:8" x14ac:dyDescent="0.25">
      <c r="B50" s="308">
        <v>30.5</v>
      </c>
      <c r="C50" s="309">
        <v>2800</v>
      </c>
      <c r="D50" s="258">
        <f>224794.93*1.05</f>
        <v>236034.6765</v>
      </c>
      <c r="E50" s="258">
        <f>291302.42*1.05</f>
        <v>305867.54099999997</v>
      </c>
      <c r="F50" s="299">
        <f t="shared" si="2"/>
        <v>84298.09874999999</v>
      </c>
      <c r="G50" s="299">
        <f t="shared" si="3"/>
        <v>109238.4075</v>
      </c>
      <c r="H50" s="182"/>
    </row>
    <row r="51" spans="2:8" x14ac:dyDescent="0.25">
      <c r="B51" s="308">
        <v>32.5</v>
      </c>
      <c r="C51" s="307">
        <v>3125</v>
      </c>
      <c r="D51" s="258">
        <f>230416.77*1.05</f>
        <v>241937.6085</v>
      </c>
      <c r="E51" s="258">
        <f>298588*1.05</f>
        <v>313517.40000000002</v>
      </c>
      <c r="F51" s="299">
        <f t="shared" si="2"/>
        <v>77420.034720000011</v>
      </c>
      <c r="G51" s="299">
        <f t="shared" si="3"/>
        <v>100325.568</v>
      </c>
      <c r="H51" s="182"/>
    </row>
    <row r="52" spans="2:8" x14ac:dyDescent="0.25">
      <c r="B52" s="308">
        <v>34.5</v>
      </c>
      <c r="C52" s="309">
        <v>3555</v>
      </c>
      <c r="D52" s="258">
        <f>261899.13*1.05</f>
        <v>274994.08650000003</v>
      </c>
      <c r="E52" s="258">
        <f>339384.65*1.05</f>
        <v>356353.88250000007</v>
      </c>
      <c r="F52" s="299">
        <f t="shared" si="2"/>
        <v>77354.173417721526</v>
      </c>
      <c r="G52" s="299">
        <f t="shared" si="3"/>
        <v>100240.19198312239</v>
      </c>
      <c r="H52" s="182"/>
    </row>
    <row r="53" spans="2:8" x14ac:dyDescent="0.25">
      <c r="B53" s="308">
        <v>38</v>
      </c>
      <c r="C53" s="309">
        <v>4305</v>
      </c>
      <c r="D53" s="258">
        <f>307840.45*1.05</f>
        <v>323232.47250000003</v>
      </c>
      <c r="E53" s="258">
        <f>398918.57*1.05</f>
        <v>418864.49850000005</v>
      </c>
      <c r="F53" s="299">
        <f t="shared" si="2"/>
        <v>75083.036585365859</v>
      </c>
      <c r="G53" s="299">
        <f t="shared" si="3"/>
        <v>97297.21219512196</v>
      </c>
      <c r="H53" s="182"/>
    </row>
    <row r="54" spans="2:8" x14ac:dyDescent="0.25">
      <c r="B54" s="308">
        <v>42</v>
      </c>
      <c r="C54" s="309">
        <v>5345</v>
      </c>
      <c r="D54" s="258">
        <f>378912.41*1.05</f>
        <v>397858.03049999999</v>
      </c>
      <c r="E54" s="258">
        <f>491017.33*1.05</f>
        <v>515568.19650000002</v>
      </c>
      <c r="F54" s="299">
        <f t="shared" si="2"/>
        <v>74435.552946679134</v>
      </c>
      <c r="G54" s="299">
        <f t="shared" si="3"/>
        <v>96458.034892422831</v>
      </c>
      <c r="H54" s="182"/>
    </row>
    <row r="55" spans="2:8" x14ac:dyDescent="0.25">
      <c r="B55" s="308">
        <v>46</v>
      </c>
      <c r="C55" s="309">
        <v>6240</v>
      </c>
      <c r="D55" s="258">
        <f>461799.5*1.05</f>
        <v>484889.47500000003</v>
      </c>
      <c r="E55" s="258">
        <f>598426.8*1.05</f>
        <v>628348.14000000013</v>
      </c>
      <c r="F55" s="299">
        <f t="shared" si="2"/>
        <v>77706.64663461539</v>
      </c>
      <c r="G55" s="299">
        <f t="shared" si="3"/>
        <v>100696.81730769233</v>
      </c>
      <c r="H55" s="182"/>
    </row>
    <row r="56" spans="2:8" x14ac:dyDescent="0.25">
      <c r="B56" s="308">
        <v>48</v>
      </c>
      <c r="C56" s="309">
        <v>6815</v>
      </c>
      <c r="D56" s="258">
        <f>504285.06*1.05</f>
        <v>529499.31299999997</v>
      </c>
      <c r="E56" s="258">
        <f>653482.06*1.05</f>
        <v>686156.16300000006</v>
      </c>
      <c r="F56" s="299">
        <f t="shared" si="2"/>
        <v>77696.157446808502</v>
      </c>
      <c r="G56" s="299">
        <f t="shared" si="3"/>
        <v>100683.22274394719</v>
      </c>
      <c r="H56" s="182"/>
    </row>
    <row r="57" spans="2:8" x14ac:dyDescent="0.25">
      <c r="B57" s="308">
        <v>50</v>
      </c>
      <c r="C57" s="309">
        <v>7490</v>
      </c>
      <c r="D57" s="258">
        <f>574884.96*1.05</f>
        <v>603629.20799999998</v>
      </c>
      <c r="E57" s="258">
        <f>744969.55*1.05</f>
        <v>782218.02750000008</v>
      </c>
      <c r="F57" s="299">
        <f t="shared" si="2"/>
        <v>80591.349532710286</v>
      </c>
      <c r="G57" s="299">
        <f t="shared" si="3"/>
        <v>104434.98364485982</v>
      </c>
      <c r="H57" s="182"/>
    </row>
    <row r="58" spans="2:8" x14ac:dyDescent="0.25">
      <c r="B58" s="308">
        <v>53.5</v>
      </c>
      <c r="C58" s="309">
        <v>8550</v>
      </c>
      <c r="D58" s="258">
        <f>649620.01*1.05</f>
        <v>682101.01050000009</v>
      </c>
      <c r="E58" s="258">
        <f>841815.6*1.05</f>
        <v>883906.38</v>
      </c>
      <c r="F58" s="299">
        <f t="shared" si="2"/>
        <v>79777.895964912284</v>
      </c>
      <c r="G58" s="299">
        <f t="shared" si="3"/>
        <v>103380.86315789474</v>
      </c>
      <c r="H58" s="182"/>
    </row>
    <row r="59" spans="2:8" x14ac:dyDescent="0.25">
      <c r="B59" s="84"/>
      <c r="C59" s="61"/>
      <c r="D59" s="85"/>
      <c r="E59" s="85"/>
      <c r="F59" s="85"/>
      <c r="G59" s="85"/>
      <c r="H59" s="182"/>
    </row>
    <row r="60" spans="2:8" x14ac:dyDescent="0.25">
      <c r="H60" s="182"/>
    </row>
    <row r="61" spans="2:8" x14ac:dyDescent="0.25">
      <c r="H61" s="182"/>
    </row>
    <row r="62" spans="2:8" x14ac:dyDescent="0.25">
      <c r="H62" s="182"/>
    </row>
    <row r="63" spans="2:8" x14ac:dyDescent="0.25">
      <c r="H63" s="182"/>
    </row>
    <row r="64" spans="2:8" x14ac:dyDescent="0.25">
      <c r="H64" s="182"/>
    </row>
    <row r="65" spans="8:8" x14ac:dyDescent="0.25">
      <c r="H65" s="182"/>
    </row>
    <row r="66" spans="8:8" x14ac:dyDescent="0.25">
      <c r="H66" s="182"/>
    </row>
    <row r="67" spans="8:8" ht="5.4" customHeight="1" x14ac:dyDescent="0.25">
      <c r="H67" s="74"/>
    </row>
  </sheetData>
  <mergeCells count="21">
    <mergeCell ref="B37:E37"/>
    <mergeCell ref="F37:G38"/>
    <mergeCell ref="B38:E38"/>
    <mergeCell ref="B39:B40"/>
    <mergeCell ref="C39:C40"/>
    <mergeCell ref="D39:E39"/>
    <mergeCell ref="F39:G39"/>
    <mergeCell ref="B30:E30"/>
    <mergeCell ref="F30:G31"/>
    <mergeCell ref="B31:E31"/>
    <mergeCell ref="B32:B33"/>
    <mergeCell ref="C32:C33"/>
    <mergeCell ref="D32:E32"/>
    <mergeCell ref="F32:G32"/>
    <mergeCell ref="B2:E2"/>
    <mergeCell ref="F2:G3"/>
    <mergeCell ref="B3:E3"/>
    <mergeCell ref="B4:B5"/>
    <mergeCell ref="C4:C5"/>
    <mergeCell ref="D4:E4"/>
    <mergeCell ref="F4:G4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H69"/>
  <sheetViews>
    <sheetView view="pageBreakPreview" topLeftCell="A11" zoomScale="85" zoomScaleNormal="75" workbookViewId="0">
      <selection activeCell="D22" sqref="D22"/>
    </sheetView>
  </sheetViews>
  <sheetFormatPr defaultColWidth="8.88671875" defaultRowHeight="13.2" x14ac:dyDescent="0.25"/>
  <cols>
    <col min="1" max="1" width="8.33203125" style="24" customWidth="1"/>
    <col min="2" max="2" width="9.33203125" style="10" customWidth="1"/>
    <col min="3" max="3" width="20.109375" style="14" customWidth="1"/>
    <col min="4" max="4" width="11.88671875" style="10" customWidth="1"/>
    <col min="5" max="5" width="13" style="10" customWidth="1"/>
    <col min="6" max="6" width="11.33203125" style="10" customWidth="1"/>
    <col min="7" max="7" width="13.6640625" style="10" bestFit="1" customWidth="1"/>
    <col min="8" max="8" width="12.44140625" style="10" customWidth="1"/>
    <col min="9" max="16384" width="8.88671875" style="10"/>
  </cols>
  <sheetData>
    <row r="1" spans="1:8" s="70" customFormat="1" x14ac:dyDescent="0.25">
      <c r="A1" s="24"/>
      <c r="B1" s="81"/>
      <c r="C1" s="86"/>
      <c r="D1" s="82"/>
      <c r="E1" s="82"/>
      <c r="F1" s="82"/>
      <c r="G1" s="29">
        <v>41000</v>
      </c>
      <c r="H1" s="54" t="s">
        <v>466</v>
      </c>
    </row>
    <row r="2" spans="1:8" s="70" customFormat="1" ht="13.2" customHeight="1" x14ac:dyDescent="0.25">
      <c r="A2" s="24"/>
      <c r="B2" s="627" t="s">
        <v>724</v>
      </c>
      <c r="C2" s="628"/>
      <c r="D2" s="628"/>
      <c r="E2" s="629"/>
      <c r="F2" s="568" t="s">
        <v>360</v>
      </c>
      <c r="G2" s="568"/>
      <c r="H2" s="24"/>
    </row>
    <row r="3" spans="1:8" s="70" customFormat="1" x14ac:dyDescent="0.25">
      <c r="A3" s="24"/>
      <c r="B3" s="630"/>
      <c r="C3" s="631"/>
      <c r="D3" s="631"/>
      <c r="E3" s="632"/>
      <c r="F3" s="568"/>
      <c r="G3" s="568"/>
      <c r="H3" s="24"/>
    </row>
    <row r="4" spans="1:8" s="70" customFormat="1" ht="27" customHeight="1" x14ac:dyDescent="0.25">
      <c r="A4" s="24"/>
      <c r="B4" s="565" t="s">
        <v>104</v>
      </c>
      <c r="C4" s="565" t="s">
        <v>359</v>
      </c>
      <c r="D4" s="565" t="s">
        <v>501</v>
      </c>
      <c r="E4" s="565"/>
      <c r="F4" s="565" t="s">
        <v>500</v>
      </c>
      <c r="G4" s="565"/>
      <c r="H4" s="24"/>
    </row>
    <row r="5" spans="1:8" s="70" customFormat="1" x14ac:dyDescent="0.25">
      <c r="A5" s="124"/>
      <c r="B5" s="565"/>
      <c r="C5" s="565"/>
      <c r="D5" s="420" t="s">
        <v>120</v>
      </c>
      <c r="E5" s="420" t="s">
        <v>264</v>
      </c>
      <c r="F5" s="420" t="s">
        <v>120</v>
      </c>
      <c r="G5" s="420" t="s">
        <v>264</v>
      </c>
      <c r="H5" s="24"/>
    </row>
    <row r="6" spans="1:8" s="70" customFormat="1" x14ac:dyDescent="0.25">
      <c r="A6" s="158"/>
      <c r="B6" s="291">
        <v>21.5</v>
      </c>
      <c r="C6" s="312">
        <v>2105</v>
      </c>
      <c r="D6" s="313">
        <f>196749.63*1.05</f>
        <v>206587.1115</v>
      </c>
      <c r="E6" s="313">
        <f>254798.74*1.05</f>
        <v>267538.67700000003</v>
      </c>
      <c r="F6" s="287">
        <f>D6/C6*1000</f>
        <v>98141.145605700716</v>
      </c>
      <c r="G6" s="287">
        <f t="shared" ref="G6:G15" si="0">E6/C6*1000</f>
        <v>127096.75866983374</v>
      </c>
      <c r="H6" s="182"/>
    </row>
    <row r="7" spans="1:8" s="70" customFormat="1" x14ac:dyDescent="0.25">
      <c r="A7" s="163"/>
      <c r="B7" s="291">
        <v>23</v>
      </c>
      <c r="C7" s="312">
        <v>2385</v>
      </c>
      <c r="D7" s="313">
        <f>215080.99*1.05</f>
        <v>225835.03950000001</v>
      </c>
      <c r="E7" s="313">
        <f>278538.6*1.05</f>
        <v>292465.52999999997</v>
      </c>
      <c r="F7" s="287">
        <f t="shared" ref="F7:F15" si="1">D7/C7*1000</f>
        <v>94689.744025157241</v>
      </c>
      <c r="G7" s="287">
        <f t="shared" si="0"/>
        <v>122627.05660377357</v>
      </c>
      <c r="H7" s="182"/>
    </row>
    <row r="8" spans="1:8" s="70" customFormat="1" x14ac:dyDescent="0.25">
      <c r="A8" s="163"/>
      <c r="B8" s="291">
        <v>25</v>
      </c>
      <c r="C8" s="312">
        <v>2745</v>
      </c>
      <c r="D8" s="313">
        <f>241449.99*1.05</f>
        <v>253522.4895</v>
      </c>
      <c r="E8" s="313">
        <f>312687.52*1.05</f>
        <v>328321.89600000001</v>
      </c>
      <c r="F8" s="287">
        <f t="shared" si="1"/>
        <v>92357.919672131145</v>
      </c>
      <c r="G8" s="287">
        <f t="shared" si="0"/>
        <v>119607.2480874317</v>
      </c>
      <c r="H8" s="182"/>
    </row>
    <row r="9" spans="1:8" s="70" customFormat="1" x14ac:dyDescent="0.25">
      <c r="A9" s="163"/>
      <c r="B9" s="291">
        <v>27.5</v>
      </c>
      <c r="C9" s="312">
        <v>3340</v>
      </c>
      <c r="D9" s="313">
        <f>284325.15*1.05</f>
        <v>298541.40750000003</v>
      </c>
      <c r="E9" s="313">
        <f>368212.57*1.05</f>
        <v>386623.1985</v>
      </c>
      <c r="F9" s="287">
        <f t="shared" si="1"/>
        <v>89383.65494011977</v>
      </c>
      <c r="G9" s="287">
        <f t="shared" si="0"/>
        <v>115755.44865269461</v>
      </c>
      <c r="H9" s="182"/>
    </row>
    <row r="10" spans="1:8" s="70" customFormat="1" x14ac:dyDescent="0.25">
      <c r="A10" s="163"/>
      <c r="B10" s="291">
        <v>30</v>
      </c>
      <c r="C10" s="312">
        <v>3990</v>
      </c>
      <c r="D10" s="313">
        <v>0</v>
      </c>
      <c r="E10" s="313">
        <f>435530.51*1.05</f>
        <v>457307.03550000006</v>
      </c>
      <c r="F10" s="287">
        <f t="shared" si="1"/>
        <v>0</v>
      </c>
      <c r="G10" s="287">
        <f t="shared" si="0"/>
        <v>114613.29210526317</v>
      </c>
      <c r="H10" s="182"/>
    </row>
    <row r="11" spans="1:8" s="70" customFormat="1" x14ac:dyDescent="0.25">
      <c r="A11" s="163"/>
      <c r="B11" s="291">
        <v>33</v>
      </c>
      <c r="C11" s="312">
        <v>4700</v>
      </c>
      <c r="D11" s="313">
        <f>380722.36*1.05</f>
        <v>399758.478</v>
      </c>
      <c r="E11" s="313">
        <f>493050.87*1.05</f>
        <v>517703.41350000002</v>
      </c>
      <c r="F11" s="287">
        <f t="shared" si="1"/>
        <v>85054.995319148948</v>
      </c>
      <c r="G11" s="287">
        <f t="shared" si="0"/>
        <v>110149.66244680852</v>
      </c>
      <c r="H11" s="182"/>
    </row>
    <row r="12" spans="1:8" s="70" customFormat="1" x14ac:dyDescent="0.25">
      <c r="A12" s="163"/>
      <c r="B12" s="291">
        <v>35.5</v>
      </c>
      <c r="C12" s="312">
        <v>5470</v>
      </c>
      <c r="D12" s="313">
        <f>438538.68*1.05</f>
        <v>460465.614</v>
      </c>
      <c r="E12" s="313">
        <f>567925.37*1.05</f>
        <v>596321.6385</v>
      </c>
      <c r="F12" s="287">
        <f t="shared" si="1"/>
        <v>84180.185374771478</v>
      </c>
      <c r="G12" s="287">
        <f t="shared" si="0"/>
        <v>109016.7529250457</v>
      </c>
      <c r="H12" s="182"/>
    </row>
    <row r="13" spans="1:8" s="70" customFormat="1" x14ac:dyDescent="0.25">
      <c r="A13" s="163"/>
      <c r="B13" s="291">
        <v>38.5</v>
      </c>
      <c r="C13" s="312">
        <v>6565</v>
      </c>
      <c r="D13" s="313">
        <f>524191.75*1.05</f>
        <v>550401.33750000002</v>
      </c>
      <c r="E13" s="313">
        <f>678849.58*1.05</f>
        <v>712792.05900000001</v>
      </c>
      <c r="F13" s="287">
        <f t="shared" si="1"/>
        <v>83838.7414318355</v>
      </c>
      <c r="G13" s="287">
        <f t="shared" si="0"/>
        <v>108574.57105864433</v>
      </c>
      <c r="H13" s="182"/>
    </row>
    <row r="14" spans="1:8" s="70" customFormat="1" x14ac:dyDescent="0.25">
      <c r="A14" s="163"/>
      <c r="B14" s="291">
        <v>40.5</v>
      </c>
      <c r="C14" s="312">
        <v>7465</v>
      </c>
      <c r="D14" s="313">
        <f>591374.18*1.05</f>
        <v>620942.88900000008</v>
      </c>
      <c r="E14" s="313">
        <f>765853.52*1.05</f>
        <v>804146.196</v>
      </c>
      <c r="F14" s="287">
        <f t="shared" si="1"/>
        <v>83180.561152042879</v>
      </c>
      <c r="G14" s="287">
        <f t="shared" si="0"/>
        <v>107722.19638312123</v>
      </c>
      <c r="H14" s="182"/>
    </row>
    <row r="15" spans="1:8" s="70" customFormat="1" x14ac:dyDescent="0.25">
      <c r="A15" s="163"/>
      <c r="B15" s="291">
        <v>43.5</v>
      </c>
      <c r="C15" s="312">
        <v>8425</v>
      </c>
      <c r="D15" s="313">
        <f>664681.56*1.05</f>
        <v>697915.63800000004</v>
      </c>
      <c r="E15" s="313">
        <f>860789.56*1.05</f>
        <v>903829.03800000006</v>
      </c>
      <c r="F15" s="287">
        <f t="shared" si="1"/>
        <v>82838.651394658751</v>
      </c>
      <c r="G15" s="287">
        <f t="shared" si="0"/>
        <v>107279.41103857568</v>
      </c>
      <c r="H15" s="182"/>
    </row>
    <row r="16" spans="1:8" s="70" customFormat="1" x14ac:dyDescent="0.25">
      <c r="A16" s="24"/>
      <c r="B16" s="81" t="s">
        <v>725</v>
      </c>
      <c r="C16" s="86"/>
      <c r="D16" s="59"/>
      <c r="E16" s="60"/>
      <c r="F16" s="82"/>
      <c r="G16" s="82"/>
      <c r="H16" s="24"/>
    </row>
    <row r="17" spans="1:8" s="70" customFormat="1" x14ac:dyDescent="0.25">
      <c r="A17" s="24"/>
      <c r="B17" s="81"/>
      <c r="C17" s="86"/>
      <c r="D17" s="82"/>
      <c r="E17" s="82"/>
      <c r="F17" s="82"/>
      <c r="G17" s="29">
        <v>41000</v>
      </c>
      <c r="H17" s="24"/>
    </row>
    <row r="18" spans="1:8" s="70" customFormat="1" ht="13.2" customHeight="1" x14ac:dyDescent="0.25">
      <c r="A18" s="24"/>
      <c r="B18" s="627" t="s">
        <v>837</v>
      </c>
      <c r="C18" s="628"/>
      <c r="D18" s="628"/>
      <c r="E18" s="629"/>
      <c r="F18" s="568" t="s">
        <v>361</v>
      </c>
      <c r="G18" s="568"/>
      <c r="H18" s="24"/>
    </row>
    <row r="19" spans="1:8" s="70" customFormat="1" ht="13.2" customHeight="1" x14ac:dyDescent="0.25">
      <c r="A19" s="24"/>
      <c r="B19" s="630"/>
      <c r="C19" s="631"/>
      <c r="D19" s="631"/>
      <c r="E19" s="632"/>
      <c r="F19" s="568"/>
      <c r="G19" s="568"/>
      <c r="H19" s="24"/>
    </row>
    <row r="20" spans="1:8" s="70" customFormat="1" ht="31.2" customHeight="1" x14ac:dyDescent="0.25">
      <c r="A20" s="24"/>
      <c r="B20" s="565" t="s">
        <v>104</v>
      </c>
      <c r="C20" s="565" t="s">
        <v>359</v>
      </c>
      <c r="D20" s="565" t="s">
        <v>501</v>
      </c>
      <c r="E20" s="565"/>
      <c r="F20" s="565" t="s">
        <v>500</v>
      </c>
      <c r="G20" s="565"/>
      <c r="H20" s="24"/>
    </row>
    <row r="21" spans="1:8" s="70" customFormat="1" ht="21" customHeight="1" x14ac:dyDescent="0.25">
      <c r="A21" s="24"/>
      <c r="B21" s="565"/>
      <c r="C21" s="565"/>
      <c r="D21" s="420" t="s">
        <v>120</v>
      </c>
      <c r="E21" s="420" t="s">
        <v>264</v>
      </c>
      <c r="F21" s="420" t="s">
        <v>120</v>
      </c>
      <c r="G21" s="420" t="s">
        <v>264</v>
      </c>
      <c r="H21" s="24"/>
    </row>
    <row r="22" spans="1:8" s="70" customFormat="1" x14ac:dyDescent="0.25">
      <c r="A22" s="24"/>
      <c r="B22" s="314">
        <v>16</v>
      </c>
      <c r="C22" s="312">
        <v>1080</v>
      </c>
      <c r="D22" s="313">
        <f>77692.81*1.04</f>
        <v>80800.522400000002</v>
      </c>
      <c r="E22" s="313">
        <f>100601.32*1.04</f>
        <v>104625.37280000001</v>
      </c>
      <c r="F22" s="287">
        <f>D22/C22*1000</f>
        <v>74815.298518518524</v>
      </c>
      <c r="G22" s="287">
        <f t="shared" ref="G22:G42" si="2">E22/C22*1000</f>
        <v>96875.345185185201</v>
      </c>
      <c r="H22" s="197"/>
    </row>
    <row r="23" spans="1:8" s="70" customFormat="1" ht="14.4" customHeight="1" x14ac:dyDescent="0.25">
      <c r="A23" s="24"/>
      <c r="B23" s="314">
        <v>18.5</v>
      </c>
      <c r="C23" s="312">
        <v>1390</v>
      </c>
      <c r="D23" s="313">
        <f>97800.54*1.04</f>
        <v>101712.5616</v>
      </c>
      <c r="E23" s="313">
        <f>126638*1.04</f>
        <v>131703.52000000002</v>
      </c>
      <c r="F23" s="287">
        <f t="shared" ref="F23:F42" si="3">D23/C23*1000</f>
        <v>73174.504748201449</v>
      </c>
      <c r="G23" s="287">
        <f t="shared" si="2"/>
        <v>94750.733812949649</v>
      </c>
      <c r="H23" s="197"/>
    </row>
    <row r="24" spans="1:8" s="70" customFormat="1" ht="15.6" customHeight="1" x14ac:dyDescent="0.25">
      <c r="A24" s="24"/>
      <c r="B24" s="314">
        <v>20</v>
      </c>
      <c r="C24" s="312">
        <v>1585</v>
      </c>
      <c r="D24" s="313">
        <f>111091.4*1.04</f>
        <v>115535.056</v>
      </c>
      <c r="E24" s="313">
        <f>143847.82*1.04</f>
        <v>149601.7328</v>
      </c>
      <c r="F24" s="287">
        <f t="shared" si="3"/>
        <v>72892.779810725551</v>
      </c>
      <c r="G24" s="287">
        <f t="shared" si="2"/>
        <v>94385.951293375401</v>
      </c>
      <c r="H24" s="197"/>
    </row>
    <row r="25" spans="1:8" s="70" customFormat="1" x14ac:dyDescent="0.25">
      <c r="A25" s="24"/>
      <c r="B25" s="314">
        <v>21</v>
      </c>
      <c r="C25" s="312">
        <v>1670</v>
      </c>
      <c r="D25" s="313">
        <f>116231.99*1.04</f>
        <v>120881.26960000001</v>
      </c>
      <c r="E25" s="313">
        <f>150504.16*1.04</f>
        <v>156524.32640000002</v>
      </c>
      <c r="F25" s="287">
        <f t="shared" si="3"/>
        <v>72383.993772455098</v>
      </c>
      <c r="G25" s="287">
        <f t="shared" si="2"/>
        <v>93727.141556886243</v>
      </c>
      <c r="H25" s="197"/>
    </row>
    <row r="26" spans="1:8" s="70" customFormat="1" x14ac:dyDescent="0.25">
      <c r="A26" s="24"/>
      <c r="B26" s="314">
        <v>23</v>
      </c>
      <c r="C26" s="312">
        <v>2190</v>
      </c>
      <c r="D26" s="313">
        <f>150530.8*1.04</f>
        <v>156552.03200000001</v>
      </c>
      <c r="E26" s="313">
        <f>194916.53*1.04</f>
        <v>202713.1912</v>
      </c>
      <c r="F26" s="287">
        <f t="shared" si="3"/>
        <v>71484.946118721462</v>
      </c>
      <c r="G26" s="287">
        <f t="shared" si="2"/>
        <v>92563.101004566211</v>
      </c>
      <c r="H26" s="197"/>
    </row>
    <row r="27" spans="1:8" s="70" customFormat="1" x14ac:dyDescent="0.25">
      <c r="A27" s="24"/>
      <c r="B27" s="314">
        <v>24.5</v>
      </c>
      <c r="C27" s="312">
        <v>2540</v>
      </c>
      <c r="D27" s="313">
        <f>172871.49*1.04</f>
        <v>179786.34959999999</v>
      </c>
      <c r="E27" s="313">
        <f>223844.4*1.04</f>
        <v>232798.17600000001</v>
      </c>
      <c r="F27" s="287">
        <f t="shared" si="3"/>
        <v>70782.0274015748</v>
      </c>
      <c r="G27" s="287">
        <f t="shared" si="2"/>
        <v>91652.825196850405</v>
      </c>
      <c r="H27" s="197"/>
    </row>
    <row r="28" spans="1:8" s="70" customFormat="1" x14ac:dyDescent="0.25">
      <c r="A28" s="24"/>
      <c r="B28" s="314">
        <v>27</v>
      </c>
      <c r="C28" s="312">
        <v>3075</v>
      </c>
      <c r="D28" s="313">
        <f>208899.64*1.04</f>
        <v>217255.62560000003</v>
      </c>
      <c r="E28" s="313">
        <f>270495.81*1.04</f>
        <v>281315.64240000001</v>
      </c>
      <c r="F28" s="287">
        <f>D28/C28*1000</f>
        <v>70652.23596747969</v>
      </c>
      <c r="G28" s="287">
        <f>E28/C28*1000</f>
        <v>91484.761756097563</v>
      </c>
      <c r="H28" s="197"/>
    </row>
    <row r="29" spans="1:8" s="70" customFormat="1" x14ac:dyDescent="0.25">
      <c r="A29" s="24"/>
      <c r="B29" s="314">
        <v>29.5</v>
      </c>
      <c r="C29" s="312">
        <v>3670</v>
      </c>
      <c r="D29" s="313">
        <f>244990.86*1.04</f>
        <v>254790.4944</v>
      </c>
      <c r="E29" s="313">
        <f>317228.89*1.04</f>
        <v>329918.04560000001</v>
      </c>
      <c r="F29" s="287">
        <f t="shared" si="3"/>
        <v>69425.202833787465</v>
      </c>
      <c r="G29" s="287">
        <f t="shared" si="2"/>
        <v>89895.925231607631</v>
      </c>
      <c r="H29" s="197"/>
    </row>
    <row r="30" spans="1:8" s="70" customFormat="1" x14ac:dyDescent="0.25">
      <c r="A30" s="24"/>
      <c r="B30" s="314">
        <v>31.5</v>
      </c>
      <c r="C30" s="312">
        <v>4225</v>
      </c>
      <c r="D30" s="313">
        <f>250879.58*1.04</f>
        <v>260914.76319999999</v>
      </c>
      <c r="E30" s="313">
        <f>324853.94*1.04</f>
        <v>337848.09760000004</v>
      </c>
      <c r="F30" s="287">
        <f t="shared" si="3"/>
        <v>61754.973538461534</v>
      </c>
      <c r="G30" s="287">
        <f t="shared" si="2"/>
        <v>79964.046769230772</v>
      </c>
      <c r="H30" s="197"/>
    </row>
    <row r="31" spans="1:8" s="70" customFormat="1" x14ac:dyDescent="0.25">
      <c r="A31" s="24"/>
      <c r="B31" s="314">
        <v>34</v>
      </c>
      <c r="C31" s="312">
        <v>4910</v>
      </c>
      <c r="D31" s="313">
        <f>288910.64*1.04</f>
        <v>300467.06560000003</v>
      </c>
      <c r="E31" s="313">
        <f>374098.84*1.04</f>
        <v>389062.79360000003</v>
      </c>
      <c r="F31" s="287">
        <f t="shared" si="3"/>
        <v>61194.921710794304</v>
      </c>
      <c r="G31" s="287">
        <f t="shared" si="2"/>
        <v>79238.85816700611</v>
      </c>
      <c r="H31" s="197"/>
    </row>
    <row r="32" spans="1:8" s="70" customFormat="1" x14ac:dyDescent="0.25">
      <c r="A32" s="24"/>
      <c r="B32" s="314">
        <v>36</v>
      </c>
      <c r="C32" s="312">
        <v>5550</v>
      </c>
      <c r="D32" s="313">
        <f>321728.92*1.04</f>
        <v>334598.07679999998</v>
      </c>
      <c r="E32" s="313">
        <f>416593.95*1.04</f>
        <v>433257.70800000004</v>
      </c>
      <c r="F32" s="287">
        <f t="shared" si="3"/>
        <v>60287.941765765769</v>
      </c>
      <c r="G32" s="287">
        <f t="shared" si="2"/>
        <v>78064.451891891906</v>
      </c>
      <c r="H32" s="197"/>
    </row>
    <row r="33" spans="1:8" s="70" customFormat="1" x14ac:dyDescent="0.25">
      <c r="A33" s="24"/>
      <c r="B33" s="314">
        <v>38.5</v>
      </c>
      <c r="C33" s="312">
        <v>6565</v>
      </c>
      <c r="D33" s="313">
        <f>378167.7*1.04</f>
        <v>393294.40800000005</v>
      </c>
      <c r="E33" s="313">
        <f>489674.27*1.04</f>
        <v>509261.24080000003</v>
      </c>
      <c r="F33" s="287">
        <f t="shared" si="3"/>
        <v>59907.754455445553</v>
      </c>
      <c r="G33" s="287">
        <f t="shared" si="2"/>
        <v>77572.161584158428</v>
      </c>
      <c r="H33" s="197"/>
    </row>
    <row r="34" spans="1:8" s="70" customFormat="1" x14ac:dyDescent="0.25">
      <c r="A34" s="24"/>
      <c r="B34" s="314">
        <v>41</v>
      </c>
      <c r="C34" s="312">
        <v>7175</v>
      </c>
      <c r="D34" s="313">
        <f>408257.9*1.04</f>
        <v>424588.21600000001</v>
      </c>
      <c r="E34" s="313">
        <f>528636.86*1.04</f>
        <v>549782.33440000005</v>
      </c>
      <c r="F34" s="287">
        <f t="shared" si="3"/>
        <v>59176.057979094076</v>
      </c>
      <c r="G34" s="287">
        <f t="shared" si="2"/>
        <v>76624.715595818823</v>
      </c>
      <c r="H34" s="197"/>
    </row>
    <row r="35" spans="1:8" s="70" customFormat="1" x14ac:dyDescent="0.25">
      <c r="A35" s="24"/>
      <c r="B35" s="314">
        <v>44</v>
      </c>
      <c r="C35" s="312">
        <v>8065</v>
      </c>
      <c r="D35" s="313">
        <f>455144.1*1.04</f>
        <v>473349.864</v>
      </c>
      <c r="E35" s="313">
        <f>589347.91*1.04</f>
        <v>612921.82640000002</v>
      </c>
      <c r="F35" s="287">
        <f t="shared" si="3"/>
        <v>58691.861624302539</v>
      </c>
      <c r="G35" s="287">
        <f t="shared" si="2"/>
        <v>75997.746608803471</v>
      </c>
      <c r="H35" s="197"/>
    </row>
    <row r="36" spans="1:8" s="70" customFormat="1" x14ac:dyDescent="0.25">
      <c r="A36" s="24"/>
      <c r="B36" s="314">
        <v>45.5</v>
      </c>
      <c r="C36" s="312">
        <v>8750</v>
      </c>
      <c r="D36" s="313">
        <f>483857.13*1.04</f>
        <v>503211.41520000005</v>
      </c>
      <c r="E36" s="313">
        <f>626527.29*1.04</f>
        <v>651588.38160000008</v>
      </c>
      <c r="F36" s="287">
        <f t="shared" si="3"/>
        <v>57509.876022857148</v>
      </c>
      <c r="G36" s="287">
        <f t="shared" si="2"/>
        <v>74467.243611428581</v>
      </c>
      <c r="H36" s="197"/>
    </row>
    <row r="37" spans="1:8" s="70" customFormat="1" x14ac:dyDescent="0.25">
      <c r="A37" s="24"/>
      <c r="B37" s="314">
        <v>49.5</v>
      </c>
      <c r="C37" s="312">
        <v>10500</v>
      </c>
      <c r="D37" s="313">
        <f>574920.57*1.04</f>
        <v>597917.39279999991</v>
      </c>
      <c r="E37" s="313">
        <f>744441.7*1.04</f>
        <v>774219.36800000002</v>
      </c>
      <c r="F37" s="287">
        <f t="shared" si="3"/>
        <v>56944.513599999991</v>
      </c>
      <c r="G37" s="287">
        <f>E37/C37*1000</f>
        <v>73735.177904761906</v>
      </c>
      <c r="H37" s="197"/>
    </row>
    <row r="38" spans="1:8" s="70" customFormat="1" x14ac:dyDescent="0.25">
      <c r="A38" s="24"/>
      <c r="B38" s="314">
        <v>51</v>
      </c>
      <c r="C38" s="312">
        <v>11000</v>
      </c>
      <c r="D38" s="313">
        <f>595889.82*1.04</f>
        <v>619725.41279999993</v>
      </c>
      <c r="E38" s="313">
        <f>771593.94*1.04</f>
        <v>802457.69759999996</v>
      </c>
      <c r="F38" s="287">
        <f t="shared" si="3"/>
        <v>56338.673890909085</v>
      </c>
      <c r="G38" s="287">
        <f t="shared" si="2"/>
        <v>72950.69978181817</v>
      </c>
      <c r="H38" s="234"/>
    </row>
    <row r="39" spans="1:8" s="70" customFormat="1" x14ac:dyDescent="0.25">
      <c r="A39" s="24"/>
      <c r="B39" s="314">
        <v>52</v>
      </c>
      <c r="C39" s="312">
        <v>11550</v>
      </c>
      <c r="D39" s="313">
        <f>621229.75*1.04</f>
        <v>646078.94000000006</v>
      </c>
      <c r="E39" s="313">
        <f>804405.62*1.04</f>
        <v>836581.84480000008</v>
      </c>
      <c r="F39" s="287">
        <f t="shared" si="3"/>
        <v>55937.570562770568</v>
      </c>
      <c r="G39" s="287">
        <f t="shared" si="2"/>
        <v>72431.328554112566</v>
      </c>
      <c r="H39" s="234"/>
    </row>
    <row r="40" spans="1:8" s="70" customFormat="1" x14ac:dyDescent="0.25">
      <c r="A40" s="24"/>
      <c r="B40" s="314">
        <v>54.5</v>
      </c>
      <c r="C40" s="312">
        <v>12700</v>
      </c>
      <c r="D40" s="313">
        <f>669695.72*1.04</f>
        <v>696483.54879999999</v>
      </c>
      <c r="E40" s="313">
        <f>867162.26*1.04</f>
        <v>901848.75040000002</v>
      </c>
      <c r="F40" s="287">
        <f t="shared" si="3"/>
        <v>54841.224314960629</v>
      </c>
      <c r="G40" s="287">
        <f t="shared" si="2"/>
        <v>71011.712629921269</v>
      </c>
      <c r="H40" s="234"/>
    </row>
    <row r="41" spans="1:8" s="70" customFormat="1" x14ac:dyDescent="0.25">
      <c r="A41" s="24"/>
      <c r="B41" s="314">
        <v>56</v>
      </c>
      <c r="C41" s="312">
        <v>13850</v>
      </c>
      <c r="D41" s="313">
        <v>0</v>
      </c>
      <c r="E41" s="313">
        <f>885749.92*1.04</f>
        <v>921179.91680000012</v>
      </c>
      <c r="F41" s="287">
        <f t="shared" si="3"/>
        <v>0</v>
      </c>
      <c r="G41" s="287">
        <f t="shared" si="2"/>
        <v>66511.185328519859</v>
      </c>
      <c r="H41" s="234"/>
    </row>
    <row r="42" spans="1:8" s="70" customFormat="1" ht="13.95" customHeight="1" x14ac:dyDescent="0.25">
      <c r="A42" s="24"/>
      <c r="B42" s="314">
        <v>59.5</v>
      </c>
      <c r="C42" s="312">
        <v>15050</v>
      </c>
      <c r="D42" s="313">
        <f>720549.19*1.04</f>
        <v>749371.15759999992</v>
      </c>
      <c r="E42" s="313">
        <f>933010.35*1.04</f>
        <v>970330.76399999997</v>
      </c>
      <c r="F42" s="287">
        <f t="shared" si="3"/>
        <v>49792.103495016607</v>
      </c>
      <c r="G42" s="287">
        <f t="shared" si="2"/>
        <v>64473.804916943518</v>
      </c>
      <c r="H42" s="234"/>
    </row>
    <row r="43" spans="1:8" s="70" customFormat="1" x14ac:dyDescent="0.25">
      <c r="A43" s="24"/>
      <c r="B43" s="81" t="s">
        <v>836</v>
      </c>
      <c r="C43" s="235"/>
      <c r="D43" s="59"/>
      <c r="E43" s="59"/>
      <c r="F43" s="80"/>
      <c r="G43" s="80"/>
      <c r="H43" s="234"/>
    </row>
    <row r="44" spans="1:8" s="70" customFormat="1" x14ac:dyDescent="0.25">
      <c r="A44" s="24"/>
      <c r="B44" s="53"/>
      <c r="C44" s="235"/>
      <c r="D44" s="59"/>
      <c r="E44" s="59"/>
      <c r="F44" s="80"/>
      <c r="G44" s="80"/>
      <c r="H44" s="234"/>
    </row>
    <row r="45" spans="1:8" x14ac:dyDescent="0.25">
      <c r="G45" s="29">
        <v>41000</v>
      </c>
      <c r="H45" s="234"/>
    </row>
    <row r="46" spans="1:8" x14ac:dyDescent="0.25">
      <c r="B46" s="594" t="s">
        <v>147</v>
      </c>
      <c r="C46" s="595"/>
      <c r="D46" s="595"/>
      <c r="E46" s="602"/>
      <c r="F46" s="568" t="s">
        <v>146</v>
      </c>
      <c r="G46" s="568"/>
      <c r="H46" s="24"/>
    </row>
    <row r="47" spans="1:8" x14ac:dyDescent="0.25">
      <c r="B47" s="600" t="s">
        <v>148</v>
      </c>
      <c r="C47" s="601"/>
      <c r="D47" s="601"/>
      <c r="E47" s="603"/>
      <c r="F47" s="568"/>
      <c r="G47" s="568"/>
      <c r="H47" s="24"/>
    </row>
    <row r="48" spans="1:8" ht="25.2" customHeight="1" x14ac:dyDescent="0.25">
      <c r="B48" s="565" t="s">
        <v>104</v>
      </c>
      <c r="C48" s="565" t="s">
        <v>119</v>
      </c>
      <c r="D48" s="565" t="s">
        <v>501</v>
      </c>
      <c r="E48" s="565"/>
      <c r="F48" s="565" t="s">
        <v>500</v>
      </c>
      <c r="G48" s="565"/>
      <c r="H48" s="24"/>
    </row>
    <row r="49" spans="2:8" x14ac:dyDescent="0.25">
      <c r="B49" s="565"/>
      <c r="C49" s="565"/>
      <c r="D49" s="420" t="s">
        <v>120</v>
      </c>
      <c r="E49" s="420" t="s">
        <v>264</v>
      </c>
      <c r="F49" s="420" t="s">
        <v>120</v>
      </c>
      <c r="G49" s="420" t="s">
        <v>264</v>
      </c>
      <c r="H49" s="24"/>
    </row>
    <row r="50" spans="2:8" x14ac:dyDescent="0.25">
      <c r="B50" s="269">
        <v>11.5</v>
      </c>
      <c r="C50" s="312">
        <v>425.5</v>
      </c>
      <c r="D50" s="313">
        <f>75975.21*1.05</f>
        <v>79773.97050000001</v>
      </c>
      <c r="E50" s="313">
        <f>110150.09*1.05</f>
        <v>115657.59450000001</v>
      </c>
      <c r="F50" s="287">
        <f>D50/C50*1000</f>
        <v>187482.89189189192</v>
      </c>
      <c r="G50" s="287">
        <f>E50/C50*1000</f>
        <v>271815.73325499415</v>
      </c>
      <c r="H50" s="182"/>
    </row>
    <row r="51" spans="2:8" ht="15" customHeight="1" x14ac:dyDescent="0.25">
      <c r="B51" s="269">
        <v>12.5</v>
      </c>
      <c r="C51" s="312">
        <v>495.5</v>
      </c>
      <c r="D51" s="313">
        <f>82194.93*1.05</f>
        <v>86304.676500000001</v>
      </c>
      <c r="E51" s="313">
        <f>119167.53*1.05</f>
        <v>125125.9065</v>
      </c>
      <c r="F51" s="287">
        <f t="shared" ref="F51:F66" si="4">D51/C51*1000</f>
        <v>174176.94550958628</v>
      </c>
      <c r="G51" s="287">
        <f t="shared" ref="G51:G66" si="5">E51/C51*1000</f>
        <v>252524.53380423813</v>
      </c>
      <c r="H51" s="182"/>
    </row>
    <row r="52" spans="2:8" ht="15" customHeight="1" x14ac:dyDescent="0.25">
      <c r="B52" s="269">
        <v>13.5</v>
      </c>
      <c r="C52" s="312">
        <v>570.5</v>
      </c>
      <c r="D52" s="313">
        <f>86336.95*1.05</f>
        <v>90653.797500000001</v>
      </c>
      <c r="E52" s="313">
        <f>124957.7*1.05</f>
        <v>131205.58499999999</v>
      </c>
      <c r="F52" s="287">
        <f t="shared" si="4"/>
        <v>158902.36196319017</v>
      </c>
      <c r="G52" s="287">
        <f t="shared" si="5"/>
        <v>229983.49693251532</v>
      </c>
      <c r="H52" s="182"/>
    </row>
    <row r="53" spans="2:8" ht="15" customHeight="1" x14ac:dyDescent="0.25">
      <c r="B53" s="269">
        <v>14.5</v>
      </c>
      <c r="C53" s="312">
        <v>652</v>
      </c>
      <c r="D53" s="313">
        <f>90517.4*1.05</f>
        <v>95043.27</v>
      </c>
      <c r="E53" s="313">
        <f>131292.52*1.05</f>
        <v>137857.14600000001</v>
      </c>
      <c r="F53" s="287">
        <f t="shared" si="4"/>
        <v>145771.88650306748</v>
      </c>
      <c r="G53" s="287">
        <f t="shared" si="5"/>
        <v>211437.34049079756</v>
      </c>
      <c r="H53" s="182"/>
    </row>
    <row r="54" spans="2:8" ht="15" customHeight="1" x14ac:dyDescent="0.25">
      <c r="B54" s="269">
        <v>16</v>
      </c>
      <c r="C54" s="312">
        <v>805</v>
      </c>
      <c r="D54" s="313">
        <f>100841.72*1.05</f>
        <v>105883.80600000001</v>
      </c>
      <c r="E54" s="313">
        <f>146291.63*1.05</f>
        <v>153606.2115</v>
      </c>
      <c r="F54" s="287">
        <f t="shared" si="4"/>
        <v>131532.67826086958</v>
      </c>
      <c r="G54" s="287">
        <f t="shared" si="5"/>
        <v>190815.16956521739</v>
      </c>
      <c r="H54" s="182"/>
    </row>
    <row r="55" spans="2:8" ht="15" customHeight="1" x14ac:dyDescent="0.25">
      <c r="B55" s="269">
        <v>17</v>
      </c>
      <c r="C55" s="312">
        <v>900</v>
      </c>
      <c r="D55" s="313">
        <f>109971.06*1.05</f>
        <v>115469.613</v>
      </c>
      <c r="E55" s="313">
        <f>160276.83*1.05</f>
        <v>168290.6715</v>
      </c>
      <c r="F55" s="287">
        <f t="shared" si="4"/>
        <v>128299.56999999999</v>
      </c>
      <c r="G55" s="287">
        <f t="shared" si="5"/>
        <v>186989.63499999998</v>
      </c>
      <c r="H55" s="182"/>
    </row>
    <row r="56" spans="2:8" ht="15" customHeight="1" x14ac:dyDescent="0.25">
      <c r="B56" s="269">
        <v>19</v>
      </c>
      <c r="C56" s="312">
        <v>1090</v>
      </c>
      <c r="D56" s="313">
        <f>119323.28*1.05</f>
        <v>125289.444</v>
      </c>
      <c r="E56" s="313">
        <f>173042.84*1.05</f>
        <v>181694.98200000002</v>
      </c>
      <c r="F56" s="287">
        <f t="shared" si="4"/>
        <v>114944.44403669726</v>
      </c>
      <c r="G56" s="287">
        <f t="shared" si="5"/>
        <v>166692.64403669725</v>
      </c>
      <c r="H56" s="182"/>
    </row>
    <row r="57" spans="2:8" ht="15" customHeight="1" x14ac:dyDescent="0.25">
      <c r="B57" s="269">
        <v>25</v>
      </c>
      <c r="C57" s="312">
        <v>1975</v>
      </c>
      <c r="D57" s="313">
        <f>166633.76*1.05</f>
        <v>174965.448</v>
      </c>
      <c r="E57" s="313">
        <f>240283.29*1.05</f>
        <v>252297.45450000002</v>
      </c>
      <c r="F57" s="287">
        <f t="shared" si="4"/>
        <v>88590.100253164564</v>
      </c>
      <c r="G57" s="287">
        <f t="shared" si="5"/>
        <v>127745.54658227849</v>
      </c>
      <c r="H57" s="182"/>
    </row>
    <row r="58" spans="2:8" ht="15" customHeight="1" x14ac:dyDescent="0.25">
      <c r="B58" s="269">
        <v>28</v>
      </c>
      <c r="C58" s="312">
        <v>2355</v>
      </c>
      <c r="D58" s="313">
        <f>173169.55*1.05</f>
        <v>181828.0275</v>
      </c>
      <c r="E58" s="313">
        <f>250472.63*1.05</f>
        <v>262996.26150000002</v>
      </c>
      <c r="F58" s="287">
        <f t="shared" si="4"/>
        <v>77209.353503184713</v>
      </c>
      <c r="G58" s="287">
        <f t="shared" si="5"/>
        <v>111675.69490445861</v>
      </c>
      <c r="H58" s="182"/>
    </row>
    <row r="59" spans="2:8" ht="15" customHeight="1" x14ac:dyDescent="0.25">
      <c r="B59" s="269">
        <v>30</v>
      </c>
      <c r="C59" s="312">
        <v>2770</v>
      </c>
      <c r="D59" s="313">
        <f>191701.06*1.05</f>
        <v>201286.11300000001</v>
      </c>
      <c r="E59" s="313">
        <f>278342.5*1.05</f>
        <v>292259.625</v>
      </c>
      <c r="F59" s="287">
        <f t="shared" si="4"/>
        <v>72666.466787003621</v>
      </c>
      <c r="G59" s="287">
        <f t="shared" si="5"/>
        <v>105508.88989169676</v>
      </c>
      <c r="H59" s="182"/>
    </row>
    <row r="60" spans="2:8" ht="15" customHeight="1" x14ac:dyDescent="0.25">
      <c r="B60" s="269">
        <v>34</v>
      </c>
      <c r="C60" s="312">
        <v>3565</v>
      </c>
      <c r="D60" s="313">
        <f>229912.97*1.05</f>
        <v>241408.61850000001</v>
      </c>
      <c r="E60" s="313">
        <f>329532.2*1.05</f>
        <v>346008.81000000006</v>
      </c>
      <c r="F60" s="287">
        <f t="shared" si="4"/>
        <v>67716.302524544182</v>
      </c>
      <c r="G60" s="287">
        <f t="shared" si="5"/>
        <v>97057.16970546986</v>
      </c>
      <c r="H60" s="182"/>
    </row>
    <row r="61" spans="2:8" ht="15" customHeight="1" x14ac:dyDescent="0.25">
      <c r="B61" s="269">
        <v>39</v>
      </c>
      <c r="C61" s="312">
        <v>4610</v>
      </c>
      <c r="D61" s="313">
        <f>280289.64*1.05</f>
        <v>294304.12200000003</v>
      </c>
      <c r="E61" s="313">
        <f>400555.94*1.05</f>
        <v>420583.73700000002</v>
      </c>
      <c r="F61" s="287">
        <f t="shared" si="4"/>
        <v>63840.373535791761</v>
      </c>
      <c r="G61" s="287">
        <f t="shared" si="5"/>
        <v>91232.914750542302</v>
      </c>
      <c r="H61" s="182"/>
    </row>
    <row r="62" spans="2:8" ht="15" customHeight="1" x14ac:dyDescent="0.25">
      <c r="B62" s="269">
        <v>43</v>
      </c>
      <c r="C62" s="312">
        <v>5625</v>
      </c>
      <c r="D62" s="313">
        <f>327104.45*1.05</f>
        <v>343459.67250000004</v>
      </c>
      <c r="E62" s="313">
        <f>467167.93*1.05</f>
        <v>490526.32650000002</v>
      </c>
      <c r="F62" s="287">
        <f t="shared" si="4"/>
        <v>61059.49733333334</v>
      </c>
      <c r="G62" s="287">
        <f t="shared" si="5"/>
        <v>87204.680266666677</v>
      </c>
      <c r="H62" s="182"/>
    </row>
    <row r="63" spans="2:8" ht="15" customHeight="1" x14ac:dyDescent="0.25">
      <c r="B63" s="269">
        <v>51</v>
      </c>
      <c r="C63" s="312">
        <v>7905</v>
      </c>
      <c r="D63" s="313">
        <f>434512.71*1.05</f>
        <v>456238.34550000005</v>
      </c>
      <c r="E63" s="313">
        <f>618696.69*1.05</f>
        <v>649631.52449999994</v>
      </c>
      <c r="F63" s="287">
        <f t="shared" si="4"/>
        <v>57715.160721062624</v>
      </c>
      <c r="G63" s="287">
        <f t="shared" si="5"/>
        <v>82179.82599620492</v>
      </c>
      <c r="H63" s="182"/>
    </row>
    <row r="64" spans="2:8" ht="15" customHeight="1" x14ac:dyDescent="0.25">
      <c r="B64" s="269">
        <v>59.5</v>
      </c>
      <c r="C64" s="312">
        <v>10850</v>
      </c>
      <c r="D64" s="313">
        <f>573935.17*1.05</f>
        <v>602631.92850000004</v>
      </c>
      <c r="E64" s="313">
        <f>806302.9*1.05</f>
        <v>846618.04500000004</v>
      </c>
      <c r="F64" s="287">
        <f t="shared" si="4"/>
        <v>55542.113225806454</v>
      </c>
      <c r="G64" s="287">
        <f t="shared" si="5"/>
        <v>78029.312903225815</v>
      </c>
      <c r="H64" s="182"/>
    </row>
    <row r="65" spans="2:8" ht="15" customHeight="1" x14ac:dyDescent="0.25">
      <c r="B65" s="269">
        <v>64.5</v>
      </c>
      <c r="C65" s="312">
        <v>12600</v>
      </c>
      <c r="D65" s="313">
        <f>665862.61*1.05</f>
        <v>699155.74050000007</v>
      </c>
      <c r="E65" s="313">
        <f>912197.51*1.05</f>
        <v>957807.38550000009</v>
      </c>
      <c r="F65" s="287">
        <f t="shared" si="4"/>
        <v>55488.550833333342</v>
      </c>
      <c r="G65" s="287">
        <f t="shared" si="5"/>
        <v>76016.459166666682</v>
      </c>
      <c r="H65" s="182"/>
    </row>
    <row r="66" spans="2:8" ht="15" customHeight="1" x14ac:dyDescent="0.25">
      <c r="B66" s="269">
        <v>78</v>
      </c>
      <c r="C66" s="312">
        <v>18400</v>
      </c>
      <c r="D66" s="313">
        <f>945389.14*1.05</f>
        <v>992658.59700000007</v>
      </c>
      <c r="E66" s="313">
        <f>1321037.16*1.05</f>
        <v>1387089.0179999999</v>
      </c>
      <c r="F66" s="287">
        <f t="shared" si="4"/>
        <v>53948.836793478265</v>
      </c>
      <c r="G66" s="287">
        <f t="shared" si="5"/>
        <v>75385.272717391301</v>
      </c>
      <c r="H66" s="182"/>
    </row>
    <row r="67" spans="2:8" ht="15" customHeight="1" x14ac:dyDescent="0.25">
      <c r="B67" s="269">
        <v>82</v>
      </c>
      <c r="C67" s="312">
        <v>20650</v>
      </c>
      <c r="D67" s="313">
        <f>1058014.5*1.05</f>
        <v>1110915.2250000001</v>
      </c>
      <c r="E67" s="313">
        <f>1478413.92*1.05</f>
        <v>1552334.6159999999</v>
      </c>
      <c r="F67" s="287">
        <f>D67/C67*1000</f>
        <v>53797.347457627126</v>
      </c>
      <c r="G67" s="287">
        <f>E67/C67*1000</f>
        <v>75173.589152542365</v>
      </c>
      <c r="H67" s="24"/>
    </row>
    <row r="68" spans="2:8" x14ac:dyDescent="0.25">
      <c r="H68" s="24"/>
    </row>
    <row r="69" spans="2:8" x14ac:dyDescent="0.25">
      <c r="H69" s="24"/>
    </row>
  </sheetData>
  <mergeCells count="19">
    <mergeCell ref="B46:E46"/>
    <mergeCell ref="F46:G47"/>
    <mergeCell ref="B47:E47"/>
    <mergeCell ref="B48:B49"/>
    <mergeCell ref="C48:C49"/>
    <mergeCell ref="D48:E48"/>
    <mergeCell ref="F48:G48"/>
    <mergeCell ref="B18:E19"/>
    <mergeCell ref="F18:G19"/>
    <mergeCell ref="B20:B21"/>
    <mergeCell ref="C20:C21"/>
    <mergeCell ref="D20:E20"/>
    <mergeCell ref="F20:G20"/>
    <mergeCell ref="B2:E3"/>
    <mergeCell ref="F2:G3"/>
    <mergeCell ref="B4:B5"/>
    <mergeCell ref="C4:C5"/>
    <mergeCell ref="D4:E4"/>
    <mergeCell ref="F4:G4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76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59"/>
  <sheetViews>
    <sheetView view="pageBreakPreview" zoomScale="85" zoomScaleNormal="75" workbookViewId="0">
      <selection activeCell="D1" sqref="D1"/>
    </sheetView>
  </sheetViews>
  <sheetFormatPr defaultColWidth="8.88671875" defaultRowHeight="13.2" x14ac:dyDescent="0.25"/>
  <cols>
    <col min="1" max="1" width="32.5546875" style="10" bestFit="1" customWidth="1"/>
    <col min="2" max="2" width="73.44140625" style="102" customWidth="1"/>
    <col min="3" max="3" width="5.6640625" style="217" customWidth="1"/>
    <col min="4" max="16384" width="8.88671875" style="75"/>
  </cols>
  <sheetData>
    <row r="1" spans="1:3" ht="38.4" customHeight="1" x14ac:dyDescent="0.25">
      <c r="A1" s="529" t="s">
        <v>474</v>
      </c>
      <c r="B1" s="529"/>
      <c r="C1" s="209" t="s">
        <v>690</v>
      </c>
    </row>
    <row r="2" spans="1:3" x14ac:dyDescent="0.25">
      <c r="A2" s="530" t="s">
        <v>672</v>
      </c>
      <c r="B2" s="530"/>
      <c r="C2" s="530"/>
    </row>
    <row r="3" spans="1:3" x14ac:dyDescent="0.25">
      <c r="A3" s="210" t="s">
        <v>114</v>
      </c>
      <c r="B3" s="218" t="s">
        <v>769</v>
      </c>
      <c r="C3" s="220">
        <v>4</v>
      </c>
    </row>
    <row r="4" spans="1:3" x14ac:dyDescent="0.25">
      <c r="A4" s="210" t="s">
        <v>354</v>
      </c>
      <c r="B4" s="218" t="s">
        <v>483</v>
      </c>
      <c r="C4" s="220">
        <v>4</v>
      </c>
    </row>
    <row r="5" spans="1:3" x14ac:dyDescent="0.25">
      <c r="A5" s="210" t="s">
        <v>403</v>
      </c>
      <c r="B5" s="218" t="s">
        <v>414</v>
      </c>
      <c r="C5" s="220">
        <v>4</v>
      </c>
    </row>
    <row r="6" spans="1:3" x14ac:dyDescent="0.25">
      <c r="A6" s="210" t="s">
        <v>445</v>
      </c>
      <c r="B6" s="218" t="s">
        <v>446</v>
      </c>
      <c r="C6" s="220">
        <v>4</v>
      </c>
    </row>
    <row r="7" spans="1:3" x14ac:dyDescent="0.25">
      <c r="A7" s="210" t="s">
        <v>255</v>
      </c>
      <c r="B7" s="218" t="s">
        <v>256</v>
      </c>
      <c r="C7" s="220">
        <v>5</v>
      </c>
    </row>
    <row r="8" spans="1:3" x14ac:dyDescent="0.25">
      <c r="A8" s="210" t="s">
        <v>258</v>
      </c>
      <c r="B8" s="218" t="s">
        <v>259</v>
      </c>
      <c r="C8" s="220">
        <v>5</v>
      </c>
    </row>
    <row r="9" spans="1:3" x14ac:dyDescent="0.25">
      <c r="A9" s="210" t="s">
        <v>592</v>
      </c>
      <c r="B9" s="218" t="s">
        <v>19</v>
      </c>
      <c r="C9" s="220">
        <v>5</v>
      </c>
    </row>
    <row r="10" spans="1:3" x14ac:dyDescent="0.25">
      <c r="A10" s="210" t="s">
        <v>257</v>
      </c>
      <c r="B10" s="218" t="s">
        <v>482</v>
      </c>
      <c r="C10" s="220">
        <v>5</v>
      </c>
    </row>
    <row r="11" spans="1:3" x14ac:dyDescent="0.25">
      <c r="A11" s="210" t="s">
        <v>612</v>
      </c>
      <c r="B11" s="218" t="s">
        <v>49</v>
      </c>
      <c r="C11" s="220">
        <v>5</v>
      </c>
    </row>
    <row r="12" spans="1:3" x14ac:dyDescent="0.25">
      <c r="A12" s="210" t="s">
        <v>193</v>
      </c>
      <c r="B12" s="218" t="s">
        <v>101</v>
      </c>
      <c r="C12" s="220">
        <v>5</v>
      </c>
    </row>
    <row r="13" spans="1:3" x14ac:dyDescent="0.25">
      <c r="A13" s="530" t="s">
        <v>671</v>
      </c>
      <c r="B13" s="530"/>
      <c r="C13" s="530"/>
    </row>
    <row r="14" spans="1:3" x14ac:dyDescent="0.25">
      <c r="A14" s="211" t="s">
        <v>527</v>
      </c>
      <c r="B14" s="218" t="s">
        <v>260</v>
      </c>
      <c r="C14" s="220">
        <v>6</v>
      </c>
    </row>
    <row r="15" spans="1:3" x14ac:dyDescent="0.25">
      <c r="A15" s="210" t="s">
        <v>428</v>
      </c>
      <c r="B15" s="218" t="s">
        <v>481</v>
      </c>
      <c r="C15" s="220">
        <v>6</v>
      </c>
    </row>
    <row r="16" spans="1:3" x14ac:dyDescent="0.25">
      <c r="A16" s="210" t="s">
        <v>429</v>
      </c>
      <c r="B16" s="218" t="s">
        <v>480</v>
      </c>
      <c r="C16" s="220">
        <v>6</v>
      </c>
    </row>
    <row r="17" spans="1:3" x14ac:dyDescent="0.25">
      <c r="A17" s="210" t="s">
        <v>619</v>
      </c>
      <c r="B17" s="218" t="s">
        <v>24</v>
      </c>
      <c r="C17" s="220">
        <v>7</v>
      </c>
    </row>
    <row r="18" spans="1:3" x14ac:dyDescent="0.25">
      <c r="A18" s="210" t="s">
        <v>594</v>
      </c>
      <c r="B18" s="218" t="s">
        <v>674</v>
      </c>
      <c r="C18" s="220">
        <v>7</v>
      </c>
    </row>
    <row r="19" spans="1:3" x14ac:dyDescent="0.25">
      <c r="A19" s="210" t="s">
        <v>598</v>
      </c>
      <c r="B19" s="218" t="s">
        <v>25</v>
      </c>
      <c r="C19" s="220">
        <v>7</v>
      </c>
    </row>
    <row r="20" spans="1:3" s="10" customFormat="1" x14ac:dyDescent="0.25">
      <c r="A20" s="210" t="s">
        <v>352</v>
      </c>
      <c r="B20" s="218" t="s">
        <v>356</v>
      </c>
      <c r="C20" s="220">
        <v>7</v>
      </c>
    </row>
    <row r="21" spans="1:3" s="10" customFormat="1" x14ac:dyDescent="0.25">
      <c r="A21" s="210" t="s">
        <v>51</v>
      </c>
      <c r="B21" s="218" t="s">
        <v>50</v>
      </c>
      <c r="C21" s="220">
        <v>7</v>
      </c>
    </row>
    <row r="22" spans="1:3" x14ac:dyDescent="0.25">
      <c r="A22" s="210" t="s">
        <v>407</v>
      </c>
      <c r="B22" s="218" t="s">
        <v>415</v>
      </c>
      <c r="C22" s="220">
        <v>7</v>
      </c>
    </row>
    <row r="23" spans="1:3" x14ac:dyDescent="0.25">
      <c r="A23" s="210" t="s">
        <v>409</v>
      </c>
      <c r="B23" s="218" t="s">
        <v>408</v>
      </c>
      <c r="C23" s="220">
        <v>7</v>
      </c>
    </row>
    <row r="24" spans="1:3" x14ac:dyDescent="0.25">
      <c r="A24" s="210" t="s">
        <v>522</v>
      </c>
      <c r="B24" s="218" t="s">
        <v>524</v>
      </c>
      <c r="C24" s="220">
        <v>7</v>
      </c>
    </row>
    <row r="25" spans="1:3" s="10" customFormat="1" x14ac:dyDescent="0.25">
      <c r="A25" s="211" t="s">
        <v>416</v>
      </c>
      <c r="B25" s="218" t="s">
        <v>417</v>
      </c>
      <c r="C25" s="220">
        <v>8</v>
      </c>
    </row>
    <row r="26" spans="1:3" ht="13.2" customHeight="1" x14ac:dyDescent="0.25">
      <c r="A26" s="210" t="s">
        <v>191</v>
      </c>
      <c r="B26" s="218" t="s">
        <v>192</v>
      </c>
      <c r="C26" s="220">
        <v>9</v>
      </c>
    </row>
    <row r="27" spans="1:3" x14ac:dyDescent="0.25">
      <c r="A27" s="210" t="s">
        <v>253</v>
      </c>
      <c r="B27" s="218" t="s">
        <v>261</v>
      </c>
      <c r="C27" s="220">
        <v>9</v>
      </c>
    </row>
    <row r="28" spans="1:3" s="10" customFormat="1" x14ac:dyDescent="0.25">
      <c r="A28" s="530" t="s">
        <v>234</v>
      </c>
      <c r="B28" s="530"/>
      <c r="C28" s="530"/>
    </row>
    <row r="29" spans="1:3" x14ac:dyDescent="0.25">
      <c r="A29" s="212" t="s">
        <v>167</v>
      </c>
      <c r="B29" s="218" t="s">
        <v>673</v>
      </c>
      <c r="C29" s="220">
        <v>9</v>
      </c>
    </row>
    <row r="30" spans="1:3" s="10" customFormat="1" hidden="1" x14ac:dyDescent="0.25">
      <c r="A30" s="199" t="s">
        <v>353</v>
      </c>
      <c r="B30" s="34" t="s">
        <v>355</v>
      </c>
      <c r="C30" s="216">
        <v>14</v>
      </c>
    </row>
    <row r="31" spans="1:3" s="10" customFormat="1" x14ac:dyDescent="0.25">
      <c r="A31" s="530" t="s">
        <v>194</v>
      </c>
      <c r="B31" s="530"/>
      <c r="C31" s="530"/>
    </row>
    <row r="32" spans="1:3" s="10" customFormat="1" x14ac:dyDescent="0.25">
      <c r="A32" s="531" t="s">
        <v>295</v>
      </c>
      <c r="B32" s="531"/>
      <c r="C32" s="220">
        <v>10</v>
      </c>
    </row>
    <row r="33" spans="1:3" s="10" customFormat="1" x14ac:dyDescent="0.25">
      <c r="A33" s="221" t="s">
        <v>365</v>
      </c>
      <c r="B33" s="218" t="s">
        <v>477</v>
      </c>
      <c r="C33" s="220">
        <v>11</v>
      </c>
    </row>
    <row r="34" spans="1:3" s="10" customFormat="1" x14ac:dyDescent="0.25">
      <c r="A34" s="221" t="s">
        <v>195</v>
      </c>
      <c r="B34" s="218" t="s">
        <v>196</v>
      </c>
      <c r="C34" s="220">
        <v>11</v>
      </c>
    </row>
    <row r="35" spans="1:3" s="10" customFormat="1" x14ac:dyDescent="0.25">
      <c r="A35" s="221" t="s">
        <v>197</v>
      </c>
      <c r="B35" s="218" t="s">
        <v>198</v>
      </c>
      <c r="C35" s="220">
        <v>12</v>
      </c>
    </row>
    <row r="36" spans="1:3" s="10" customFormat="1" x14ac:dyDescent="0.25">
      <c r="A36" s="221" t="s">
        <v>199</v>
      </c>
      <c r="B36" s="218" t="s">
        <v>200</v>
      </c>
      <c r="C36" s="220">
        <v>13</v>
      </c>
    </row>
    <row r="37" spans="1:3" s="10" customFormat="1" x14ac:dyDescent="0.25">
      <c r="A37" s="221" t="s">
        <v>201</v>
      </c>
      <c r="B37" s="218" t="s">
        <v>202</v>
      </c>
      <c r="C37" s="220">
        <v>13</v>
      </c>
    </row>
    <row r="38" spans="1:3" s="10" customFormat="1" x14ac:dyDescent="0.25">
      <c r="A38" s="221" t="s">
        <v>203</v>
      </c>
      <c r="B38" s="218" t="s">
        <v>204</v>
      </c>
      <c r="C38" s="220">
        <v>14</v>
      </c>
    </row>
    <row r="39" spans="1:3" s="10" customFormat="1" x14ac:dyDescent="0.25">
      <c r="A39" s="221" t="s">
        <v>205</v>
      </c>
      <c r="B39" s="218" t="s">
        <v>206</v>
      </c>
      <c r="C39" s="220">
        <v>14</v>
      </c>
    </row>
    <row r="40" spans="1:3" s="10" customFormat="1" x14ac:dyDescent="0.25">
      <c r="A40" s="222" t="s">
        <v>358</v>
      </c>
      <c r="B40" s="218" t="s">
        <v>467</v>
      </c>
      <c r="C40" s="220">
        <v>14</v>
      </c>
    </row>
    <row r="41" spans="1:3" s="10" customFormat="1" x14ac:dyDescent="0.25">
      <c r="A41" s="221" t="s">
        <v>207</v>
      </c>
      <c r="B41" s="218" t="s">
        <v>208</v>
      </c>
      <c r="C41" s="220">
        <v>15</v>
      </c>
    </row>
    <row r="42" spans="1:3" s="10" customFormat="1" x14ac:dyDescent="0.25">
      <c r="A42" s="221" t="s">
        <v>209</v>
      </c>
      <c r="B42" s="218" t="s">
        <v>210</v>
      </c>
      <c r="C42" s="220">
        <v>15</v>
      </c>
    </row>
    <row r="43" spans="1:3" s="10" customFormat="1" x14ac:dyDescent="0.25">
      <c r="A43" s="221" t="s">
        <v>211</v>
      </c>
      <c r="B43" s="218" t="s">
        <v>212</v>
      </c>
      <c r="C43" s="220">
        <v>15</v>
      </c>
    </row>
    <row r="44" spans="1:3" s="10" customFormat="1" x14ac:dyDescent="0.25">
      <c r="A44" s="221" t="s">
        <v>213</v>
      </c>
      <c r="B44" s="218" t="s">
        <v>214</v>
      </c>
      <c r="C44" s="220">
        <v>16</v>
      </c>
    </row>
    <row r="45" spans="1:3" s="10" customFormat="1" x14ac:dyDescent="0.25">
      <c r="A45" s="221" t="s">
        <v>215</v>
      </c>
      <c r="B45" s="218" t="s">
        <v>216</v>
      </c>
      <c r="C45" s="220">
        <v>17</v>
      </c>
    </row>
    <row r="46" spans="1:3" s="10" customFormat="1" x14ac:dyDescent="0.25">
      <c r="A46" s="221" t="s">
        <v>217</v>
      </c>
      <c r="B46" s="218" t="s">
        <v>218</v>
      </c>
      <c r="C46" s="220">
        <v>18</v>
      </c>
    </row>
    <row r="47" spans="1:3" s="10" customFormat="1" x14ac:dyDescent="0.25">
      <c r="A47" s="221" t="s">
        <v>219</v>
      </c>
      <c r="B47" s="218" t="s">
        <v>476</v>
      </c>
      <c r="C47" s="220">
        <v>18</v>
      </c>
    </row>
    <row r="48" spans="1:3" s="10" customFormat="1" x14ac:dyDescent="0.25">
      <c r="A48" s="221" t="s">
        <v>360</v>
      </c>
      <c r="B48" s="218" t="s">
        <v>475</v>
      </c>
      <c r="C48" s="220">
        <v>19</v>
      </c>
    </row>
    <row r="49" spans="1:3" s="10" customFormat="1" x14ac:dyDescent="0.25">
      <c r="A49" s="221" t="s">
        <v>361</v>
      </c>
      <c r="B49" s="218" t="s">
        <v>478</v>
      </c>
      <c r="C49" s="220">
        <v>19</v>
      </c>
    </row>
    <row r="50" spans="1:3" s="10" customFormat="1" x14ac:dyDescent="0.25">
      <c r="A50" s="221" t="s">
        <v>220</v>
      </c>
      <c r="B50" s="218" t="s">
        <v>221</v>
      </c>
      <c r="C50" s="220">
        <v>19</v>
      </c>
    </row>
    <row r="51" spans="1:3" s="10" customFormat="1" x14ac:dyDescent="0.25">
      <c r="A51" s="221" t="s">
        <v>222</v>
      </c>
      <c r="B51" s="218" t="s">
        <v>223</v>
      </c>
      <c r="C51" s="220">
        <v>20</v>
      </c>
    </row>
    <row r="52" spans="1:3" s="10" customFormat="1" x14ac:dyDescent="0.25">
      <c r="A52" s="221" t="s">
        <v>226</v>
      </c>
      <c r="B52" s="218" t="s">
        <v>227</v>
      </c>
      <c r="C52" s="220">
        <v>20</v>
      </c>
    </row>
    <row r="53" spans="1:3" s="10" customFormat="1" x14ac:dyDescent="0.25">
      <c r="A53" s="221" t="s">
        <v>228</v>
      </c>
      <c r="B53" s="218" t="s">
        <v>229</v>
      </c>
      <c r="C53" s="220">
        <v>21</v>
      </c>
    </row>
    <row r="54" spans="1:3" s="10" customFormat="1" x14ac:dyDescent="0.25">
      <c r="A54" s="221" t="s">
        <v>729</v>
      </c>
      <c r="B54" s="218" t="s">
        <v>230</v>
      </c>
      <c r="C54" s="220">
        <v>22</v>
      </c>
    </row>
    <row r="55" spans="1:3" s="10" customFormat="1" x14ac:dyDescent="0.25">
      <c r="A55" s="221" t="s">
        <v>232</v>
      </c>
      <c r="B55" s="218" t="s">
        <v>233</v>
      </c>
      <c r="C55" s="220">
        <v>23</v>
      </c>
    </row>
    <row r="56" spans="1:3" s="10" customFormat="1" ht="25.5" customHeight="1" x14ac:dyDescent="0.25">
      <c r="A56" s="222" t="s">
        <v>362</v>
      </c>
      <c r="B56" s="165" t="s">
        <v>698</v>
      </c>
      <c r="C56" s="220">
        <v>24</v>
      </c>
    </row>
    <row r="57" spans="1:3" s="10" customFormat="1" ht="25.5" customHeight="1" x14ac:dyDescent="0.25">
      <c r="A57" s="222" t="s">
        <v>363</v>
      </c>
      <c r="B57" s="213" t="s">
        <v>699</v>
      </c>
      <c r="C57" s="220">
        <v>24</v>
      </c>
    </row>
    <row r="58" spans="1:3" s="10" customFormat="1" x14ac:dyDescent="0.25">
      <c r="A58" s="221" t="s">
        <v>224</v>
      </c>
      <c r="B58" s="218" t="s">
        <v>225</v>
      </c>
      <c r="C58" s="220">
        <v>24</v>
      </c>
    </row>
    <row r="59" spans="1:3" ht="25.5" customHeight="1" x14ac:dyDescent="0.25">
      <c r="A59" s="221" t="s">
        <v>659</v>
      </c>
      <c r="B59" s="165" t="s">
        <v>700</v>
      </c>
      <c r="C59" s="220">
        <v>24</v>
      </c>
    </row>
  </sheetData>
  <mergeCells count="6">
    <mergeCell ref="A1:B1"/>
    <mergeCell ref="A2:C2"/>
    <mergeCell ref="A31:C31"/>
    <mergeCell ref="A32:B32"/>
    <mergeCell ref="A28:C28"/>
    <mergeCell ref="A13:C13"/>
  </mergeCells>
  <phoneticPr fontId="0" type="noConversion"/>
  <hyperlinks>
    <hyperlink ref="A4" location="'4'!L37" display="ТУ 1211-288-00187211"/>
    <hyperlink ref="A14" location="'6'!H2" display="ГОСТ 9389-75, ТУ459"/>
    <hyperlink ref="A15" location="'6'!H59" display="ТУ 14-4-1338-85"/>
    <hyperlink ref="A16" location="'6'!H59" display="ТУ 14-178-399-2000"/>
    <hyperlink ref="A6" location="'4'!B38" display="ГОСТ 6727-80"/>
    <hyperlink ref="A29" location="'9'!D46" display="ГОСТ 2246-70"/>
    <hyperlink ref="A20" location="'7'!G44" display="ТУ 14-4-933-78"/>
    <hyperlink ref="A34" location="'11'!A1" display="ГОСТ 2688-80 "/>
    <hyperlink ref="A32:B32" location="'10'!A1" display="приплаты для канатов"/>
    <hyperlink ref="A35" location="'12'!A1" display="ГОСТ 3062-80"/>
    <hyperlink ref="A36" location="'13'!A1" display="ГОСТ 3063-80 "/>
    <hyperlink ref="A37" location="'13'!A1" display="ГОСТ 3064-80"/>
    <hyperlink ref="A38" location="'14'!A1" display="ГОСТ 3066-80 "/>
    <hyperlink ref="A39" location="'14'!A1" display="ГОСТ 3067-80 "/>
    <hyperlink ref="A41" location="'15'!A1" display="ГОСТ 3069-80"/>
    <hyperlink ref="A42" location="'15'!A1" display="ГОСТ 3070-88"/>
    <hyperlink ref="A43" location="'15'!A1" display="ГОСТ 3071-88"/>
    <hyperlink ref="A44" location="'16'!A1" display="ГОСТ 3077-80 "/>
    <hyperlink ref="A45" location="'17'!A1" display="ГОСТ 3079-80 "/>
    <hyperlink ref="A46" location="'18'!A1" display="ГОСТ 3081-80 "/>
    <hyperlink ref="A47" location="'18'!A1" display="ГОСТ 3083-80"/>
    <hyperlink ref="A50" location="'19'!A1" display="ГОСТ 3089-80"/>
    <hyperlink ref="A51" location="'20'!A1" display="ГОСТ 7665-80"/>
    <hyperlink ref="A52" location="'20'!A1" display="ГОСТ 7667-80"/>
    <hyperlink ref="A53" location="'21'!A1" display="ГОСТ 7668-80"/>
    <hyperlink ref="A54" location="'22'!A1" display="ГОСТ 7669-80, ТУ037, ТУ025, ТУ002"/>
    <hyperlink ref="A55" location="'23'!A1" display="ГОСТ 14954-80"/>
    <hyperlink ref="A40" location="'14'!A1" display="ГОСТ 3068-88"/>
    <hyperlink ref="A48" location="'19'!A1" display="ГОСТ 3085-80 И1"/>
    <hyperlink ref="A49" location="'19'!A1" display="ГОСТ 3088-80"/>
    <hyperlink ref="A56" location="'24'!A1" display="ГОСТ 16827-81"/>
    <hyperlink ref="A57" location="'24'!A1" display="ГОСТ 16828-81"/>
    <hyperlink ref="A33" location="'11'!A1" display="ГОСТ 2172-80"/>
    <hyperlink ref="A58" location="'24'!A1" display="ГОСТ 16853-88"/>
    <hyperlink ref="A7" location="'5'!D2" display="ГОСТ  7480-73"/>
    <hyperlink ref="A8" location="'5'!D16" display="ГОСТ 15892-70"/>
    <hyperlink ref="A9" location="'5'!H2" display="ГОСТ  1526-81"/>
    <hyperlink ref="A5" location="'4'!G30" display="ТУ 14-178-194-2000"/>
    <hyperlink ref="A10" location="'5'!H16" display="ГОСТ 1668-73"/>
    <hyperlink ref="A11" location="'5'!D27" display="ГОСТ 285-69"/>
    <hyperlink ref="A27" location="'9'!A1" display="ГОСТ   5663-79"/>
    <hyperlink ref="A17" location="'7'!D33" display="ТУ 14-4-1457-87"/>
    <hyperlink ref="A18" location="'7'!G13" display="ГОСТ  9850-72"/>
    <hyperlink ref="A19" location="'7'!D44" display="ТУ14-178-462-2004"/>
    <hyperlink ref="A22" location="'7'!H2" display="ТУ 14-178-394-2001"/>
    <hyperlink ref="A23" location="'7'!C2" display="ТУ 14-178-391-2001"/>
    <hyperlink ref="A24" location="'7'!E2" display="СТО 71915393-ТУ 050-2007"/>
    <hyperlink ref="A12" location="'5'!F27" display="ГОСТ 792-67"/>
    <hyperlink ref="A26" location="'9'!A1" display="ГОСТ  17305-71"/>
    <hyperlink ref="A59" location="'24'!A1" display="СТО 71915393-ТУ 049-2007"/>
    <hyperlink ref="A25" location="'8'!A1" display="ГОСТ 7372-79"/>
    <hyperlink ref="A3" location="'4'!K2" display="ГОСТ 3282-74"/>
    <hyperlink ref="A21" location="'7'!D15" display="ГОСТ 3875-83"/>
  </hyperlinks>
  <pageMargins left="0.63" right="0.51" top="0.5" bottom="0.45" header="0.23" footer="0.26"/>
  <pageSetup paperSize="9" scale="83" orientation="portrait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H50"/>
  <sheetViews>
    <sheetView view="pageBreakPreview" zoomScale="85" zoomScaleNormal="75" workbookViewId="0">
      <selection activeCell="B25" sqref="B25:G25"/>
    </sheetView>
  </sheetViews>
  <sheetFormatPr defaultColWidth="8.88671875" defaultRowHeight="13.2" x14ac:dyDescent="0.25"/>
  <cols>
    <col min="1" max="1" width="9.88671875" style="24" customWidth="1"/>
    <col min="2" max="2" width="9.33203125" style="10" customWidth="1"/>
    <col min="3" max="3" width="21.5546875" style="10" customWidth="1"/>
    <col min="4" max="7" width="12.44140625" style="10" customWidth="1"/>
    <col min="8" max="8" width="10.6640625" style="10" bestFit="1" customWidth="1"/>
    <col min="9" max="16384" width="8.88671875" style="10"/>
  </cols>
  <sheetData>
    <row r="1" spans="1:8" x14ac:dyDescent="0.25">
      <c r="G1" s="29">
        <v>41000</v>
      </c>
      <c r="H1" s="54" t="s">
        <v>466</v>
      </c>
    </row>
    <row r="2" spans="1:8" x14ac:dyDescent="0.25">
      <c r="B2" s="594" t="s">
        <v>150</v>
      </c>
      <c r="C2" s="595"/>
      <c r="D2" s="595"/>
      <c r="E2" s="602"/>
      <c r="F2" s="568" t="s">
        <v>149</v>
      </c>
      <c r="G2" s="568"/>
      <c r="H2" s="24"/>
    </row>
    <row r="3" spans="1:8" x14ac:dyDescent="0.25">
      <c r="B3" s="600" t="s">
        <v>151</v>
      </c>
      <c r="C3" s="601"/>
      <c r="D3" s="601"/>
      <c r="E3" s="603"/>
      <c r="F3" s="568"/>
      <c r="G3" s="568"/>
      <c r="H3" s="24"/>
    </row>
    <row r="4" spans="1:8" ht="31.2" customHeight="1" x14ac:dyDescent="0.25">
      <c r="B4" s="565" t="s">
        <v>104</v>
      </c>
      <c r="C4" s="565" t="s">
        <v>119</v>
      </c>
      <c r="D4" s="565" t="s">
        <v>501</v>
      </c>
      <c r="E4" s="565"/>
      <c r="F4" s="565" t="s">
        <v>500</v>
      </c>
      <c r="G4" s="565"/>
      <c r="H4" s="24"/>
    </row>
    <row r="5" spans="1:8" x14ac:dyDescent="0.25">
      <c r="A5" s="124"/>
      <c r="B5" s="565"/>
      <c r="C5" s="565"/>
      <c r="D5" s="420" t="s">
        <v>120</v>
      </c>
      <c r="E5" s="420" t="s">
        <v>264</v>
      </c>
      <c r="F5" s="420" t="s">
        <v>120</v>
      </c>
      <c r="G5" s="420" t="s">
        <v>264</v>
      </c>
      <c r="H5" s="24"/>
    </row>
    <row r="6" spans="1:8" ht="15" customHeight="1" x14ac:dyDescent="0.25">
      <c r="A6" s="162"/>
      <c r="B6" s="269">
        <v>8.1</v>
      </c>
      <c r="C6" s="269">
        <v>236.5</v>
      </c>
      <c r="D6" s="261">
        <f>26326.67*1.05</f>
        <v>27643.003499999999</v>
      </c>
      <c r="E6" s="261">
        <f>34095.76*1.05</f>
        <v>35800.548000000003</v>
      </c>
      <c r="F6" s="287">
        <f t="shared" ref="F6:F24" si="0">D6/C6*1000</f>
        <v>116883.73572938688</v>
      </c>
      <c r="G6" s="287">
        <f t="shared" ref="G6:G24" si="1">E6/C6*1000</f>
        <v>151376.52431289642</v>
      </c>
      <c r="H6" s="182"/>
    </row>
    <row r="7" spans="1:8" ht="15" customHeight="1" x14ac:dyDescent="0.25">
      <c r="A7" s="159"/>
      <c r="B7" s="269">
        <v>9.6999999999999993</v>
      </c>
      <c r="C7" s="269">
        <v>342.5</v>
      </c>
      <c r="D7" s="261">
        <f>31451.69*1.05</f>
        <v>33024.2745</v>
      </c>
      <c r="E7" s="261">
        <f>40725.17*1.05</f>
        <v>42761.428500000002</v>
      </c>
      <c r="F7" s="287">
        <f t="shared" si="0"/>
        <v>96421.239416058394</v>
      </c>
      <c r="G7" s="287">
        <f t="shared" si="1"/>
        <v>124850.88613138687</v>
      </c>
      <c r="H7" s="182"/>
    </row>
    <row r="8" spans="1:8" ht="15" customHeight="1" x14ac:dyDescent="0.25">
      <c r="A8" s="159"/>
      <c r="B8" s="269">
        <v>11.5</v>
      </c>
      <c r="C8" s="269">
        <v>464</v>
      </c>
      <c r="D8" s="261">
        <f>36412.81*1.05</f>
        <v>38233.450499999999</v>
      </c>
      <c r="E8" s="261">
        <f>47162.89*1.05</f>
        <v>49521.034500000002</v>
      </c>
      <c r="F8" s="287">
        <f t="shared" si="0"/>
        <v>82399.677801724145</v>
      </c>
      <c r="G8" s="287">
        <f t="shared" si="1"/>
        <v>106726.36745689655</v>
      </c>
      <c r="H8" s="182"/>
    </row>
    <row r="9" spans="1:8" ht="15" customHeight="1" x14ac:dyDescent="0.25">
      <c r="A9" s="159"/>
      <c r="B9" s="269">
        <v>13</v>
      </c>
      <c r="C9" s="269">
        <v>605</v>
      </c>
      <c r="D9" s="261">
        <f>42979.31*1.05</f>
        <v>45128.275499999996</v>
      </c>
      <c r="E9" s="261">
        <f>55665.03*1.05</f>
        <v>58448.281500000005</v>
      </c>
      <c r="F9" s="287">
        <f t="shared" si="0"/>
        <v>74592.190909090903</v>
      </c>
      <c r="G9" s="287">
        <f t="shared" si="1"/>
        <v>96608.729752066123</v>
      </c>
      <c r="H9" s="182"/>
    </row>
    <row r="10" spans="1:8" ht="15" customHeight="1" x14ac:dyDescent="0.25">
      <c r="A10" s="159"/>
      <c r="B10" s="269">
        <v>14.5</v>
      </c>
      <c r="C10" s="269">
        <v>763.5</v>
      </c>
      <c r="D10" s="261">
        <f>49919.15*1.05</f>
        <v>52415.107500000006</v>
      </c>
      <c r="E10" s="261">
        <f>64668.81*1.05</f>
        <v>67902.250499999995</v>
      </c>
      <c r="F10" s="287">
        <f t="shared" si="0"/>
        <v>68651.090373280953</v>
      </c>
      <c r="G10" s="287">
        <f t="shared" si="1"/>
        <v>88935.495088408643</v>
      </c>
      <c r="H10" s="182"/>
    </row>
    <row r="11" spans="1:8" ht="15" customHeight="1" x14ac:dyDescent="0.25">
      <c r="A11" s="159"/>
      <c r="B11" s="269">
        <v>16</v>
      </c>
      <c r="C11" s="269">
        <v>941.5</v>
      </c>
      <c r="D11" s="261">
        <f>60925.45*1.05</f>
        <v>63971.722499999996</v>
      </c>
      <c r="E11" s="261">
        <f>78903.01*1.05</f>
        <v>82848.160499999998</v>
      </c>
      <c r="F11" s="287">
        <f t="shared" si="0"/>
        <v>67946.598513011151</v>
      </c>
      <c r="G11" s="287">
        <f t="shared" si="1"/>
        <v>87995.921933085498</v>
      </c>
      <c r="H11" s="182"/>
    </row>
    <row r="12" spans="1:8" ht="15" customHeight="1" x14ac:dyDescent="0.25">
      <c r="A12" s="159"/>
      <c r="B12" s="269">
        <v>17.5</v>
      </c>
      <c r="C12" s="269">
        <v>1140</v>
      </c>
      <c r="D12" s="261">
        <f>70822.29*1.05</f>
        <v>74363.40449999999</v>
      </c>
      <c r="E12" s="261">
        <f>91750.87*1.05</f>
        <v>96338.413499999995</v>
      </c>
      <c r="F12" s="287">
        <f t="shared" si="0"/>
        <v>65231.056578947362</v>
      </c>
      <c r="G12" s="287">
        <f t="shared" si="1"/>
        <v>84507.380263157887</v>
      </c>
      <c r="H12" s="182"/>
    </row>
    <row r="13" spans="1:8" ht="15" customHeight="1" x14ac:dyDescent="0.25">
      <c r="A13" s="159"/>
      <c r="B13" s="269">
        <v>19.5</v>
      </c>
      <c r="C13" s="269">
        <v>1357.5</v>
      </c>
      <c r="D13" s="261">
        <f>80842.51*1.05</f>
        <v>84884.635500000004</v>
      </c>
      <c r="E13" s="261">
        <f>104685.64*1.05</f>
        <v>109919.92200000001</v>
      </c>
      <c r="F13" s="287">
        <f t="shared" si="0"/>
        <v>62530.118232044202</v>
      </c>
      <c r="G13" s="287">
        <f t="shared" si="1"/>
        <v>80972.318232044199</v>
      </c>
      <c r="H13" s="182"/>
    </row>
    <row r="14" spans="1:8" ht="15" customHeight="1" x14ac:dyDescent="0.25">
      <c r="A14" s="159"/>
      <c r="B14" s="269">
        <v>21</v>
      </c>
      <c r="C14" s="269">
        <v>1594</v>
      </c>
      <c r="D14" s="261">
        <f>93860.6*1.05</f>
        <v>98553.63</v>
      </c>
      <c r="E14" s="261">
        <f>121623.23*1.05</f>
        <v>127704.3915</v>
      </c>
      <c r="F14" s="287">
        <f t="shared" si="0"/>
        <v>61827.873274780432</v>
      </c>
      <c r="G14" s="287">
        <f t="shared" si="1"/>
        <v>80115.678481806768</v>
      </c>
      <c r="H14" s="182"/>
    </row>
    <row r="15" spans="1:8" ht="15" customHeight="1" x14ac:dyDescent="0.25">
      <c r="A15" s="159"/>
      <c r="B15" s="269">
        <v>22.5</v>
      </c>
      <c r="C15" s="269">
        <v>1857</v>
      </c>
      <c r="D15" s="261">
        <f>104336.53*1.05</f>
        <v>109553.35650000001</v>
      </c>
      <c r="E15" s="261">
        <f>135173.19*1.05</f>
        <v>141931.84950000001</v>
      </c>
      <c r="F15" s="287">
        <f t="shared" si="0"/>
        <v>58994.806946688215</v>
      </c>
      <c r="G15" s="287">
        <f t="shared" si="1"/>
        <v>76430.721324717291</v>
      </c>
      <c r="H15" s="182"/>
    </row>
    <row r="16" spans="1:8" ht="15" customHeight="1" x14ac:dyDescent="0.25">
      <c r="A16" s="159"/>
      <c r="B16" s="269">
        <v>24</v>
      </c>
      <c r="C16" s="269">
        <v>2132</v>
      </c>
      <c r="D16" s="261">
        <f>117308.82*1.05</f>
        <v>123174.26100000001</v>
      </c>
      <c r="E16" s="261">
        <f>151873.23*1.05</f>
        <v>159466.89150000003</v>
      </c>
      <c r="F16" s="287">
        <f t="shared" si="0"/>
        <v>57774.043621013145</v>
      </c>
      <c r="G16" s="287">
        <f t="shared" si="1"/>
        <v>74796.853424015033</v>
      </c>
      <c r="H16" s="182"/>
    </row>
    <row r="17" spans="1:8" ht="15" customHeight="1" x14ac:dyDescent="0.25">
      <c r="A17" s="159"/>
      <c r="B17" s="269">
        <v>25.5</v>
      </c>
      <c r="C17" s="269">
        <v>2426</v>
      </c>
      <c r="D17" s="261">
        <f>133236.13*1.05</f>
        <v>139897.93650000001</v>
      </c>
      <c r="E17" s="261">
        <f>172552.99*1.05</f>
        <v>181180.63949999999</v>
      </c>
      <c r="F17" s="287">
        <f t="shared" si="0"/>
        <v>57666.090890354499</v>
      </c>
      <c r="G17" s="287">
        <f t="shared" si="1"/>
        <v>74682.868713932388</v>
      </c>
      <c r="H17" s="182"/>
    </row>
    <row r="18" spans="1:8" ht="15" customHeight="1" x14ac:dyDescent="0.25">
      <c r="A18" s="159"/>
      <c r="B18" s="269">
        <v>27.5</v>
      </c>
      <c r="C18" s="269">
        <v>2739</v>
      </c>
      <c r="D18" s="261">
        <f>150399.23*1.05</f>
        <v>157919.19150000002</v>
      </c>
      <c r="E18" s="261">
        <f>194782.7*1.05</f>
        <v>204521.83500000002</v>
      </c>
      <c r="F18" s="287">
        <f t="shared" si="0"/>
        <v>57655.783680175256</v>
      </c>
      <c r="G18" s="287">
        <f t="shared" si="1"/>
        <v>74670.257393209205</v>
      </c>
      <c r="H18" s="182"/>
    </row>
    <row r="19" spans="1:8" ht="15" customHeight="1" x14ac:dyDescent="0.25">
      <c r="A19" s="159"/>
      <c r="B19" s="269">
        <v>29</v>
      </c>
      <c r="C19" s="269">
        <v>3071</v>
      </c>
      <c r="D19" s="261">
        <f>168087.61*1.05</f>
        <v>176491.99049999999</v>
      </c>
      <c r="E19" s="261">
        <f>217643.97*1.05</f>
        <v>228526.1685</v>
      </c>
      <c r="F19" s="287">
        <f t="shared" si="0"/>
        <v>57470.52767828069</v>
      </c>
      <c r="G19" s="287">
        <f t="shared" si="1"/>
        <v>74414.252197981114</v>
      </c>
      <c r="H19" s="182"/>
    </row>
    <row r="20" spans="1:8" ht="15" customHeight="1" x14ac:dyDescent="0.25">
      <c r="A20" s="159"/>
      <c r="B20" s="269">
        <v>32</v>
      </c>
      <c r="C20" s="269">
        <v>3768</v>
      </c>
      <c r="D20" s="261">
        <f>202718.97*1.05</f>
        <v>212854.9185</v>
      </c>
      <c r="E20" s="261">
        <f>262644.15*1.05</f>
        <v>275776.35750000004</v>
      </c>
      <c r="F20" s="287">
        <f t="shared" si="0"/>
        <v>56490.15883757962</v>
      </c>
      <c r="G20" s="287">
        <f t="shared" si="1"/>
        <v>73189.054538216573</v>
      </c>
      <c r="H20" s="182"/>
    </row>
    <row r="21" spans="1:8" ht="15" customHeight="1" x14ac:dyDescent="0.25">
      <c r="A21" s="159"/>
      <c r="B21" s="269">
        <v>35.5</v>
      </c>
      <c r="C21" s="269">
        <v>4562.5</v>
      </c>
      <c r="D21" s="261">
        <f>244829.67*1.05</f>
        <v>257071.15350000001</v>
      </c>
      <c r="E21" s="261">
        <f>317105.33*1.05</f>
        <v>332960.59650000004</v>
      </c>
      <c r="F21" s="287">
        <f t="shared" si="0"/>
        <v>56344.362410958907</v>
      </c>
      <c r="G21" s="287">
        <f t="shared" si="1"/>
        <v>72977.664986301374</v>
      </c>
      <c r="H21" s="182"/>
    </row>
    <row r="22" spans="1:8" ht="15" customHeight="1" x14ac:dyDescent="0.25">
      <c r="A22" s="159"/>
      <c r="B22" s="269">
        <v>38.5</v>
      </c>
      <c r="C22" s="269">
        <v>5405</v>
      </c>
      <c r="D22" s="261">
        <f>285953.47*1.05</f>
        <v>300251.14350000001</v>
      </c>
      <c r="E22" s="261">
        <f>370488.53*1.05</f>
        <v>389012.95650000003</v>
      </c>
      <c r="F22" s="287">
        <f t="shared" si="0"/>
        <v>55550.627844588351</v>
      </c>
      <c r="G22" s="287">
        <f t="shared" si="1"/>
        <v>71972.794912118421</v>
      </c>
      <c r="H22" s="182"/>
    </row>
    <row r="23" spans="1:8" ht="15" customHeight="1" x14ac:dyDescent="0.25">
      <c r="A23" s="159"/>
      <c r="B23" s="269">
        <v>42</v>
      </c>
      <c r="C23" s="269">
        <v>6349</v>
      </c>
      <c r="D23" s="261">
        <f>320768.67*1.05</f>
        <v>336807.10349999997</v>
      </c>
      <c r="E23" s="261">
        <f>415402.34*1.05</f>
        <v>436172.45700000005</v>
      </c>
      <c r="F23" s="287">
        <f t="shared" si="0"/>
        <v>53048.842888643878</v>
      </c>
      <c r="G23" s="287">
        <f t="shared" si="1"/>
        <v>68699.394707828003</v>
      </c>
      <c r="H23" s="182"/>
    </row>
    <row r="24" spans="1:8" ht="15" customHeight="1" x14ac:dyDescent="0.25">
      <c r="A24" s="159"/>
      <c r="B24" s="269">
        <v>45</v>
      </c>
      <c r="C24" s="269">
        <v>7397.5</v>
      </c>
      <c r="D24" s="261">
        <f>373459.9*1.05</f>
        <v>392132.89500000002</v>
      </c>
      <c r="E24" s="261">
        <f>483595.19*1.05</f>
        <v>507774.94950000005</v>
      </c>
      <c r="F24" s="287">
        <f t="shared" si="0"/>
        <v>53008.840148698888</v>
      </c>
      <c r="G24" s="287">
        <f t="shared" si="1"/>
        <v>68641.426089895249</v>
      </c>
      <c r="H24" s="182"/>
    </row>
    <row r="25" spans="1:8" ht="15.6" customHeight="1" x14ac:dyDescent="0.25">
      <c r="A25" s="159"/>
      <c r="B25" s="20"/>
      <c r="C25" s="20"/>
      <c r="D25" s="21"/>
      <c r="E25" s="21"/>
      <c r="F25" s="21"/>
      <c r="G25" s="21"/>
      <c r="H25" s="182"/>
    </row>
    <row r="26" spans="1:8" ht="15.6" customHeight="1" x14ac:dyDescent="0.25">
      <c r="A26" s="159"/>
      <c r="G26" s="29">
        <v>41000</v>
      </c>
      <c r="H26" s="24"/>
    </row>
    <row r="27" spans="1:8" x14ac:dyDescent="0.25">
      <c r="A27" s="159"/>
      <c r="B27" s="621" t="s">
        <v>150</v>
      </c>
      <c r="C27" s="622"/>
      <c r="D27" s="622"/>
      <c r="E27" s="623"/>
      <c r="F27" s="568" t="s">
        <v>155</v>
      </c>
      <c r="G27" s="568"/>
      <c r="H27" s="24"/>
    </row>
    <row r="28" spans="1:8" x14ac:dyDescent="0.25">
      <c r="A28" s="159"/>
      <c r="B28" s="624" t="s">
        <v>156</v>
      </c>
      <c r="C28" s="625"/>
      <c r="D28" s="625"/>
      <c r="E28" s="626"/>
      <c r="F28" s="568"/>
      <c r="G28" s="568"/>
      <c r="H28" s="24"/>
    </row>
    <row r="29" spans="1:8" x14ac:dyDescent="0.25">
      <c r="A29" s="159"/>
      <c r="B29" s="565" t="s">
        <v>104</v>
      </c>
      <c r="C29" s="565" t="s">
        <v>119</v>
      </c>
      <c r="D29" s="565" t="s">
        <v>501</v>
      </c>
      <c r="E29" s="565"/>
      <c r="F29" s="565" t="s">
        <v>500</v>
      </c>
      <c r="G29" s="565"/>
      <c r="H29" s="24"/>
    </row>
    <row r="30" spans="1:8" ht="25.95" customHeight="1" x14ac:dyDescent="0.25">
      <c r="A30" s="159"/>
      <c r="B30" s="565"/>
      <c r="C30" s="565"/>
      <c r="D30" s="420" t="s">
        <v>120</v>
      </c>
      <c r="E30" s="420" t="s">
        <v>264</v>
      </c>
      <c r="F30" s="420" t="s">
        <v>120</v>
      </c>
      <c r="G30" s="420" t="s">
        <v>264</v>
      </c>
      <c r="H30" s="24"/>
    </row>
    <row r="31" spans="1:8" x14ac:dyDescent="0.25">
      <c r="B31" s="269">
        <v>9.5</v>
      </c>
      <c r="C31" s="296">
        <v>371</v>
      </c>
      <c r="D31" s="261">
        <f>39938.55*1.05</f>
        <v>41935.477500000008</v>
      </c>
      <c r="E31" s="261">
        <f>51723.72*1.05</f>
        <v>54309.906000000003</v>
      </c>
      <c r="F31" s="287">
        <f t="shared" ref="F31:F49" si="2">D31/C31*1000</f>
        <v>113033.63207547172</v>
      </c>
      <c r="G31" s="287">
        <f t="shared" ref="G31:G49" si="3">E31/C31*1000</f>
        <v>146387.88679245283</v>
      </c>
      <c r="H31" s="24"/>
    </row>
    <row r="32" spans="1:8" ht="15" customHeight="1" x14ac:dyDescent="0.25">
      <c r="A32" s="124"/>
      <c r="B32" s="269">
        <v>11.5</v>
      </c>
      <c r="C32" s="269">
        <v>506.5</v>
      </c>
      <c r="D32" s="261">
        <f>44980.76*1.05</f>
        <v>47229.798000000003</v>
      </c>
      <c r="E32" s="261">
        <f>58264.79*1.05</f>
        <v>61178.029500000004</v>
      </c>
      <c r="F32" s="287">
        <f t="shared" si="2"/>
        <v>93247.38005923001</v>
      </c>
      <c r="G32" s="287">
        <f t="shared" si="3"/>
        <v>120785.84304047385</v>
      </c>
      <c r="H32" s="182"/>
    </row>
    <row r="33" spans="1:8" ht="15" customHeight="1" x14ac:dyDescent="0.25">
      <c r="A33" s="124"/>
      <c r="B33" s="269">
        <v>12.5</v>
      </c>
      <c r="C33" s="269">
        <v>654.5</v>
      </c>
      <c r="D33" s="261">
        <f>50149.03*1.05</f>
        <v>52656.481500000002</v>
      </c>
      <c r="E33" s="261">
        <f>64960.2*1.05</f>
        <v>68208.210000000006</v>
      </c>
      <c r="F33" s="287">
        <f t="shared" si="2"/>
        <v>80452.989304812829</v>
      </c>
      <c r="G33" s="287">
        <f t="shared" si="3"/>
        <v>104214.22459893048</v>
      </c>
      <c r="H33" s="182"/>
    </row>
    <row r="34" spans="1:8" ht="15" customHeight="1" x14ac:dyDescent="0.25">
      <c r="A34" s="124"/>
      <c r="B34" s="269">
        <v>14</v>
      </c>
      <c r="C34" s="296">
        <v>821</v>
      </c>
      <c r="D34" s="261">
        <f>56736.92*1.05</f>
        <v>59573.766000000003</v>
      </c>
      <c r="E34" s="261">
        <f>73490.53*1.05</f>
        <v>77165.056500000006</v>
      </c>
      <c r="F34" s="287">
        <f t="shared" si="2"/>
        <v>72562.443361753962</v>
      </c>
      <c r="G34" s="287">
        <f t="shared" si="3"/>
        <v>93989.106577344719</v>
      </c>
      <c r="H34" s="182"/>
    </row>
    <row r="35" spans="1:8" ht="15" customHeight="1" x14ac:dyDescent="0.25">
      <c r="A35" s="124"/>
      <c r="B35" s="269">
        <v>15.5</v>
      </c>
      <c r="C35" s="296">
        <v>1005</v>
      </c>
      <c r="D35" s="261">
        <f>68042.9*1.05</f>
        <v>71445.044999999998</v>
      </c>
      <c r="E35" s="261">
        <f>88090.39*1.05</f>
        <v>92494.909500000009</v>
      </c>
      <c r="F35" s="287">
        <f t="shared" si="2"/>
        <v>71089.59701492537</v>
      </c>
      <c r="G35" s="287">
        <f t="shared" si="3"/>
        <v>92034.735820895541</v>
      </c>
      <c r="H35" s="182"/>
    </row>
    <row r="36" spans="1:8" ht="15" customHeight="1" x14ac:dyDescent="0.25">
      <c r="A36" s="124"/>
      <c r="B36" s="269">
        <v>17</v>
      </c>
      <c r="C36" s="296">
        <v>1210</v>
      </c>
      <c r="D36" s="261">
        <f>75432.14*1.05</f>
        <v>79203.747000000003</v>
      </c>
      <c r="E36" s="261">
        <f>97689.55*1.05</f>
        <v>102574.02750000001</v>
      </c>
      <c r="F36" s="287">
        <f t="shared" si="2"/>
        <v>65457.642148760329</v>
      </c>
      <c r="G36" s="287">
        <f t="shared" si="3"/>
        <v>84771.923553719025</v>
      </c>
      <c r="H36" s="182"/>
    </row>
    <row r="37" spans="1:8" ht="15" customHeight="1" x14ac:dyDescent="0.25">
      <c r="A37" s="124"/>
      <c r="B37" s="269">
        <v>19</v>
      </c>
      <c r="C37" s="296">
        <v>1465</v>
      </c>
      <c r="D37" s="261">
        <f>80394.31*1.05</f>
        <v>84414.025500000003</v>
      </c>
      <c r="E37" s="261">
        <f>104088.2*1.05</f>
        <v>109292.61</v>
      </c>
      <c r="F37" s="287">
        <f t="shared" si="2"/>
        <v>57620.495221843004</v>
      </c>
      <c r="G37" s="287">
        <f t="shared" si="3"/>
        <v>74602.464163822529</v>
      </c>
      <c r="H37" s="182"/>
    </row>
    <row r="38" spans="1:8" ht="15" customHeight="1" x14ac:dyDescent="0.25">
      <c r="A38" s="124"/>
      <c r="B38" s="269">
        <v>20.5</v>
      </c>
      <c r="C38" s="296">
        <v>1715</v>
      </c>
      <c r="D38" s="261">
        <f>89660.55*1.05</f>
        <v>94143.577500000014</v>
      </c>
      <c r="E38" s="261">
        <f>116163.74*1.05</f>
        <v>121971.92700000001</v>
      </c>
      <c r="F38" s="287">
        <f t="shared" si="2"/>
        <v>54894.21428571429</v>
      </c>
      <c r="G38" s="287">
        <f t="shared" si="3"/>
        <v>71120.657142857148</v>
      </c>
      <c r="H38" s="182"/>
    </row>
    <row r="39" spans="1:8" ht="15" customHeight="1" x14ac:dyDescent="0.25">
      <c r="A39" s="124"/>
      <c r="B39" s="269">
        <v>22</v>
      </c>
      <c r="C39" s="296">
        <v>1990</v>
      </c>
      <c r="D39" s="261">
        <f>103260.86*1.05</f>
        <v>108423.90300000001</v>
      </c>
      <c r="E39" s="261">
        <f>133778.25*1.05</f>
        <v>140467.16250000001</v>
      </c>
      <c r="F39" s="287">
        <f t="shared" si="2"/>
        <v>54484.373366834174</v>
      </c>
      <c r="G39" s="287">
        <f t="shared" si="3"/>
        <v>70586.513819095489</v>
      </c>
      <c r="H39" s="182"/>
    </row>
    <row r="40" spans="1:8" ht="15" customHeight="1" x14ac:dyDescent="0.25">
      <c r="A40" s="124"/>
      <c r="B40" s="269">
        <v>23.5</v>
      </c>
      <c r="C40" s="296">
        <v>2275</v>
      </c>
      <c r="D40" s="261">
        <f>117388.39*1.05</f>
        <v>123257.8095</v>
      </c>
      <c r="E40" s="261">
        <f>151975.01*1.05</f>
        <v>159573.7605</v>
      </c>
      <c r="F40" s="287">
        <f t="shared" si="2"/>
        <v>54179.25692307693</v>
      </c>
      <c r="G40" s="287">
        <f t="shared" si="3"/>
        <v>70142.312307692308</v>
      </c>
      <c r="H40" s="182"/>
    </row>
    <row r="41" spans="1:8" ht="15" customHeight="1" x14ac:dyDescent="0.25">
      <c r="A41" s="124"/>
      <c r="B41" s="269">
        <v>25</v>
      </c>
      <c r="C41" s="296">
        <v>2580</v>
      </c>
      <c r="D41" s="261">
        <f>132536.38*1.05</f>
        <v>139163.19900000002</v>
      </c>
      <c r="E41" s="261">
        <f>171584.85*1.05</f>
        <v>180164.09250000003</v>
      </c>
      <c r="F41" s="287">
        <f t="shared" si="2"/>
        <v>53939.224418604659</v>
      </c>
      <c r="G41" s="287">
        <f t="shared" si="3"/>
        <v>69831.043604651175</v>
      </c>
      <c r="H41" s="182"/>
    </row>
    <row r="42" spans="1:8" ht="15" customHeight="1" x14ac:dyDescent="0.25">
      <c r="A42" s="124"/>
      <c r="B42" s="269">
        <v>27</v>
      </c>
      <c r="C42" s="296">
        <v>2910</v>
      </c>
      <c r="D42" s="261">
        <f>148763.53*1.05</f>
        <v>156201.7065</v>
      </c>
      <c r="E42" s="261">
        <f>192677.95*1.05</f>
        <v>202311.84750000003</v>
      </c>
      <c r="F42" s="287">
        <f t="shared" si="2"/>
        <v>53677.562371134023</v>
      </c>
      <c r="G42" s="287">
        <f t="shared" si="3"/>
        <v>69522.971649484549</v>
      </c>
      <c r="H42" s="182"/>
    </row>
    <row r="43" spans="1:8" ht="15" customHeight="1" x14ac:dyDescent="0.25">
      <c r="A43" s="124"/>
      <c r="B43" s="269">
        <v>28</v>
      </c>
      <c r="C43" s="296">
        <v>3290</v>
      </c>
      <c r="D43" s="261">
        <f>165077.84*1.05</f>
        <v>173331.73200000002</v>
      </c>
      <c r="E43" s="261">
        <f>213711.48*1.05</f>
        <v>224397.05400000003</v>
      </c>
      <c r="F43" s="287">
        <f t="shared" si="2"/>
        <v>52684.417021276604</v>
      </c>
      <c r="G43" s="287">
        <f t="shared" si="3"/>
        <v>68205.791489361713</v>
      </c>
      <c r="H43" s="182"/>
    </row>
    <row r="44" spans="1:8" ht="15" customHeight="1" x14ac:dyDescent="0.25">
      <c r="A44" s="124"/>
      <c r="B44" s="269">
        <v>31</v>
      </c>
      <c r="C44" s="296">
        <v>4030</v>
      </c>
      <c r="D44" s="261">
        <f>201929.72*1.05</f>
        <v>212026.20600000001</v>
      </c>
      <c r="E44" s="261">
        <f>261489.88*1.05</f>
        <v>274564.37400000001</v>
      </c>
      <c r="F44" s="287">
        <f t="shared" si="2"/>
        <v>52611.961786600499</v>
      </c>
      <c r="G44" s="287">
        <f t="shared" si="3"/>
        <v>68130.11761786601</v>
      </c>
      <c r="H44" s="182"/>
    </row>
    <row r="45" spans="1:8" ht="15" customHeight="1" x14ac:dyDescent="0.25">
      <c r="A45" s="124"/>
      <c r="B45" s="269">
        <v>34</v>
      </c>
      <c r="C45" s="296">
        <v>4860</v>
      </c>
      <c r="D45" s="261">
        <f>236324.49*1.05</f>
        <v>248140.7145</v>
      </c>
      <c r="E45" s="261">
        <f>306135.35*1.05</f>
        <v>321442.11749999999</v>
      </c>
      <c r="F45" s="287">
        <f t="shared" si="2"/>
        <v>51057.760185185187</v>
      </c>
      <c r="G45" s="287">
        <f t="shared" si="3"/>
        <v>66140.353395061727</v>
      </c>
      <c r="H45" s="182"/>
    </row>
    <row r="46" spans="1:8" ht="15" customHeight="1" x14ac:dyDescent="0.25">
      <c r="A46" s="124"/>
      <c r="B46" s="269">
        <v>37</v>
      </c>
      <c r="C46" s="296">
        <v>5740</v>
      </c>
      <c r="D46" s="261">
        <f>278256*1.05</f>
        <v>292168.8</v>
      </c>
      <c r="E46" s="261">
        <f>360297.39*1.05</f>
        <v>378312.25950000004</v>
      </c>
      <c r="F46" s="287">
        <f t="shared" si="2"/>
        <v>50900.487804878045</v>
      </c>
      <c r="G46" s="287">
        <f t="shared" si="3"/>
        <v>65908.059146341475</v>
      </c>
      <c r="H46" s="182"/>
    </row>
    <row r="47" spans="1:8" ht="15" customHeight="1" x14ac:dyDescent="0.25">
      <c r="A47" s="124"/>
      <c r="B47" s="269">
        <v>41</v>
      </c>
      <c r="C47" s="296">
        <v>6835</v>
      </c>
      <c r="D47" s="261">
        <f>325056.63*1.05</f>
        <v>341309.46150000003</v>
      </c>
      <c r="E47" s="261">
        <f>420881.24*1.05</f>
        <v>441925.30200000003</v>
      </c>
      <c r="F47" s="287">
        <f t="shared" si="2"/>
        <v>49935.546671543532</v>
      </c>
      <c r="G47" s="287">
        <f t="shared" si="3"/>
        <v>64656.225603511346</v>
      </c>
      <c r="H47" s="182"/>
    </row>
    <row r="48" spans="1:8" ht="15" customHeight="1" x14ac:dyDescent="0.25">
      <c r="A48" s="124"/>
      <c r="B48" s="269">
        <v>44</v>
      </c>
      <c r="C48" s="296">
        <v>7930</v>
      </c>
      <c r="D48" s="261">
        <f>369049.57*1.05</f>
        <v>387502.04850000003</v>
      </c>
      <c r="E48" s="261">
        <f>477797.48*1.05</f>
        <v>501687.35399999999</v>
      </c>
      <c r="F48" s="287">
        <f t="shared" si="2"/>
        <v>48865.327679697359</v>
      </c>
      <c r="G48" s="287">
        <f t="shared" si="3"/>
        <v>63264.483480453971</v>
      </c>
      <c r="H48" s="182"/>
    </row>
    <row r="49" spans="1:8" ht="15" customHeight="1" x14ac:dyDescent="0.25">
      <c r="A49" s="124"/>
      <c r="B49" s="269">
        <v>47</v>
      </c>
      <c r="C49" s="296">
        <v>9080</v>
      </c>
      <c r="D49" s="261">
        <f>418421.01*1.05</f>
        <v>439342.06050000002</v>
      </c>
      <c r="E49" s="261">
        <f>541695.94*1.05</f>
        <v>568780.73699999996</v>
      </c>
      <c r="F49" s="287">
        <f t="shared" si="2"/>
        <v>48385.689482378861</v>
      </c>
      <c r="G49" s="287">
        <f t="shared" si="3"/>
        <v>62641.050330396472</v>
      </c>
      <c r="H49" s="182"/>
    </row>
    <row r="50" spans="1:8" ht="15" customHeight="1" x14ac:dyDescent="0.25">
      <c r="A50" s="124"/>
      <c r="H50" s="182"/>
    </row>
  </sheetData>
  <mergeCells count="14">
    <mergeCell ref="B29:B30"/>
    <mergeCell ref="C29:C30"/>
    <mergeCell ref="D29:E29"/>
    <mergeCell ref="F29:G29"/>
    <mergeCell ref="B27:E27"/>
    <mergeCell ref="B28:E28"/>
    <mergeCell ref="F27:G28"/>
    <mergeCell ref="B2:E2"/>
    <mergeCell ref="F2:G3"/>
    <mergeCell ref="B3:E3"/>
    <mergeCell ref="B4:B5"/>
    <mergeCell ref="C4:C5"/>
    <mergeCell ref="D4:E4"/>
    <mergeCell ref="F4:G4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98" orientation="portrait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48"/>
  <sheetViews>
    <sheetView view="pageBreakPreview" zoomScale="85" zoomScaleNormal="75" workbookViewId="0"/>
  </sheetViews>
  <sheetFormatPr defaultColWidth="8.88671875" defaultRowHeight="13.2" x14ac:dyDescent="0.25"/>
  <cols>
    <col min="1" max="1" width="8.88671875" style="24"/>
    <col min="2" max="2" width="8.88671875" style="10"/>
    <col min="3" max="3" width="21.44140625" style="10" customWidth="1"/>
    <col min="4" max="5" width="13.33203125" style="10" customWidth="1"/>
    <col min="6" max="6" width="10.44140625" style="10" bestFit="1" customWidth="1"/>
    <col min="7" max="7" width="12.109375" style="10" customWidth="1"/>
    <col min="8" max="8" width="11.5546875" style="10" bestFit="1" customWidth="1"/>
    <col min="9" max="16384" width="8.88671875" style="10"/>
  </cols>
  <sheetData>
    <row r="1" spans="1:8" x14ac:dyDescent="0.25">
      <c r="B1" s="6"/>
      <c r="C1" s="6"/>
      <c r="D1" s="6"/>
      <c r="E1" s="6"/>
      <c r="F1" s="6"/>
      <c r="G1" s="29">
        <v>41000</v>
      </c>
      <c r="H1" s="54" t="s">
        <v>466</v>
      </c>
    </row>
    <row r="2" spans="1:8" x14ac:dyDescent="0.25">
      <c r="B2" s="594" t="s">
        <v>158</v>
      </c>
      <c r="C2" s="595"/>
      <c r="D2" s="595"/>
      <c r="E2" s="602"/>
      <c r="F2" s="568" t="s">
        <v>157</v>
      </c>
      <c r="G2" s="568"/>
      <c r="H2" s="24"/>
    </row>
    <row r="3" spans="1:8" x14ac:dyDescent="0.25">
      <c r="B3" s="600" t="s">
        <v>159</v>
      </c>
      <c r="C3" s="601"/>
      <c r="D3" s="601"/>
      <c r="E3" s="603"/>
      <c r="F3" s="568"/>
      <c r="G3" s="568"/>
      <c r="H3" s="24"/>
    </row>
    <row r="4" spans="1:8" ht="27.6" customHeight="1" x14ac:dyDescent="0.25">
      <c r="B4" s="565" t="s">
        <v>104</v>
      </c>
      <c r="C4" s="565" t="s">
        <v>119</v>
      </c>
      <c r="D4" s="565" t="s">
        <v>501</v>
      </c>
      <c r="E4" s="565"/>
      <c r="F4" s="565" t="s">
        <v>500</v>
      </c>
      <c r="G4" s="565"/>
      <c r="H4" s="24"/>
    </row>
    <row r="5" spans="1:8" x14ac:dyDescent="0.25">
      <c r="A5" s="126"/>
      <c r="B5" s="565"/>
      <c r="C5" s="565"/>
      <c r="D5" s="420" t="s">
        <v>120</v>
      </c>
      <c r="E5" s="420" t="s">
        <v>264</v>
      </c>
      <c r="F5" s="420" t="s">
        <v>120</v>
      </c>
      <c r="G5" s="420" t="s">
        <v>264</v>
      </c>
      <c r="H5" s="24"/>
    </row>
    <row r="6" spans="1:8" ht="15" customHeight="1" x14ac:dyDescent="0.25">
      <c r="A6" s="161"/>
      <c r="B6" s="269">
        <v>8.1</v>
      </c>
      <c r="C6" s="269">
        <v>253.5</v>
      </c>
      <c r="D6" s="432">
        <f>20352.13*1.05</f>
        <v>21369.736500000003</v>
      </c>
      <c r="E6" s="432">
        <f>28599.52</f>
        <v>28599.52</v>
      </c>
      <c r="F6" s="287">
        <f t="shared" ref="F6:F39" si="0">D6/C6*1000</f>
        <v>84298.763313609481</v>
      </c>
      <c r="G6" s="287">
        <f t="shared" ref="G6:G39" si="1">E6/C6*1000</f>
        <v>112818.61932938857</v>
      </c>
      <c r="H6" s="182"/>
    </row>
    <row r="7" spans="1:8" ht="15" customHeight="1" x14ac:dyDescent="0.25">
      <c r="A7" s="108"/>
      <c r="B7" s="269">
        <v>9</v>
      </c>
      <c r="C7" s="269">
        <v>310.5</v>
      </c>
      <c r="D7" s="432">
        <f>22796.63*1.05</f>
        <v>23936.461500000001</v>
      </c>
      <c r="E7" s="432">
        <f>32091.61</f>
        <v>32091.61</v>
      </c>
      <c r="F7" s="287">
        <f t="shared" si="0"/>
        <v>77090.053140096628</v>
      </c>
      <c r="G7" s="287">
        <f t="shared" si="1"/>
        <v>103354.62157809983</v>
      </c>
      <c r="H7" s="182"/>
    </row>
    <row r="8" spans="1:8" ht="15" customHeight="1" x14ac:dyDescent="0.25">
      <c r="A8" s="108"/>
      <c r="B8" s="269">
        <v>9.6999999999999993</v>
      </c>
      <c r="C8" s="269">
        <v>383.5</v>
      </c>
      <c r="D8" s="432">
        <f>26952.33*1.05</f>
        <v>28299.946500000002</v>
      </c>
      <c r="E8" s="432">
        <f>38144.86</f>
        <v>38144.86</v>
      </c>
      <c r="F8" s="287">
        <f t="shared" si="0"/>
        <v>73793.863102998701</v>
      </c>
      <c r="G8" s="287">
        <f t="shared" si="1"/>
        <v>99465.08474576271</v>
      </c>
      <c r="H8" s="182"/>
    </row>
    <row r="9" spans="1:8" ht="15" customHeight="1" x14ac:dyDescent="0.25">
      <c r="A9" s="108"/>
      <c r="B9" s="269">
        <v>11.5</v>
      </c>
      <c r="C9" s="269">
        <v>513</v>
      </c>
      <c r="D9" s="432">
        <f>33677.62*1.05</f>
        <v>35361.501000000004</v>
      </c>
      <c r="E9" s="432">
        <f>45798.57</f>
        <v>45798.57</v>
      </c>
      <c r="F9" s="287">
        <f t="shared" si="0"/>
        <v>68930.801169590646</v>
      </c>
      <c r="G9" s="287">
        <f t="shared" si="1"/>
        <v>89275.964912280702</v>
      </c>
      <c r="H9" s="182"/>
    </row>
    <row r="10" spans="1:8" ht="15" customHeight="1" x14ac:dyDescent="0.25">
      <c r="A10" s="108"/>
      <c r="B10" s="269">
        <v>13.5</v>
      </c>
      <c r="C10" s="269">
        <v>696.5</v>
      </c>
      <c r="D10" s="432">
        <f>41689.27*1.05</f>
        <v>43773.733500000002</v>
      </c>
      <c r="E10" s="432">
        <f>56724.95</f>
        <v>56724.95</v>
      </c>
      <c r="F10" s="287">
        <f t="shared" si="0"/>
        <v>62848.14572864322</v>
      </c>
      <c r="G10" s="287">
        <f t="shared" si="1"/>
        <v>81442.85714285713</v>
      </c>
      <c r="H10" s="182"/>
    </row>
    <row r="11" spans="1:8" ht="15" customHeight="1" x14ac:dyDescent="0.25">
      <c r="A11" s="108"/>
      <c r="B11" s="269">
        <v>15</v>
      </c>
      <c r="C11" s="269">
        <v>812</v>
      </c>
      <c r="D11" s="432">
        <f>48299.03*1.05</f>
        <v>50713.981500000002</v>
      </c>
      <c r="E11" s="432">
        <f>65718.9</f>
        <v>65718.899999999994</v>
      </c>
      <c r="F11" s="287">
        <f t="shared" si="0"/>
        <v>62455.642241379319</v>
      </c>
      <c r="G11" s="287">
        <f t="shared" si="1"/>
        <v>80934.605911330043</v>
      </c>
      <c r="H11" s="182"/>
    </row>
    <row r="12" spans="1:8" ht="15" customHeight="1" x14ac:dyDescent="0.25">
      <c r="A12" s="159"/>
      <c r="B12" s="269">
        <v>16.5</v>
      </c>
      <c r="C12" s="269">
        <v>1045</v>
      </c>
      <c r="D12" s="432">
        <f>61952.88*1.05</f>
        <v>65050.523999999998</v>
      </c>
      <c r="E12" s="432">
        <f>84289.78</f>
        <v>84289.78</v>
      </c>
      <c r="F12" s="287">
        <f t="shared" si="0"/>
        <v>62249.30526315789</v>
      </c>
      <c r="G12" s="287">
        <f t="shared" si="1"/>
        <v>80660.076555023916</v>
      </c>
      <c r="H12" s="182"/>
    </row>
    <row r="13" spans="1:8" ht="15" customHeight="1" x14ac:dyDescent="0.25">
      <c r="A13" s="159"/>
      <c r="B13" s="269">
        <v>18</v>
      </c>
      <c r="C13" s="269">
        <v>1245</v>
      </c>
      <c r="D13" s="432">
        <f>72708.6*1.05</f>
        <v>76344.030000000013</v>
      </c>
      <c r="E13" s="432">
        <f>98903.58</f>
        <v>98903.58</v>
      </c>
      <c r="F13" s="287">
        <f t="shared" si="0"/>
        <v>61320.506024096394</v>
      </c>
      <c r="G13" s="287">
        <f t="shared" si="1"/>
        <v>79440.626506024098</v>
      </c>
      <c r="H13" s="182"/>
    </row>
    <row r="14" spans="1:8" ht="15" customHeight="1" x14ac:dyDescent="0.25">
      <c r="A14" s="159"/>
      <c r="B14" s="269">
        <v>20</v>
      </c>
      <c r="C14" s="269">
        <v>1520</v>
      </c>
      <c r="D14" s="432">
        <f>85355.67*1.05</f>
        <v>89623.453500000003</v>
      </c>
      <c r="E14" s="432">
        <f>116131.83</f>
        <v>116131.83</v>
      </c>
      <c r="F14" s="287">
        <f t="shared" si="0"/>
        <v>58962.798355263163</v>
      </c>
      <c r="G14" s="287">
        <f t="shared" si="1"/>
        <v>76402.519736842107</v>
      </c>
      <c r="H14" s="182"/>
    </row>
    <row r="15" spans="1:8" ht="15" customHeight="1" x14ac:dyDescent="0.25">
      <c r="A15" s="159"/>
      <c r="B15" s="269">
        <v>22</v>
      </c>
      <c r="C15" s="269">
        <v>1830</v>
      </c>
      <c r="D15" s="432">
        <f>96552.57*1.05</f>
        <v>101380.19850000001</v>
      </c>
      <c r="E15" s="432">
        <f>131318.87</f>
        <v>131318.87</v>
      </c>
      <c r="F15" s="287">
        <f t="shared" si="0"/>
        <v>55399.015573770499</v>
      </c>
      <c r="G15" s="287">
        <f t="shared" si="1"/>
        <v>71758.945355191259</v>
      </c>
      <c r="H15" s="182"/>
    </row>
    <row r="16" spans="1:8" ht="15" customHeight="1" x14ac:dyDescent="0.25">
      <c r="A16" s="159"/>
      <c r="B16" s="269">
        <v>23.5</v>
      </c>
      <c r="C16" s="269">
        <v>2130</v>
      </c>
      <c r="D16" s="432">
        <f>111835.56*1.05</f>
        <v>117427.338</v>
      </c>
      <c r="E16" s="432">
        <f>152146.63</f>
        <v>152146.63</v>
      </c>
      <c r="F16" s="287">
        <f t="shared" si="0"/>
        <v>55130.20563380282</v>
      </c>
      <c r="G16" s="287">
        <f t="shared" si="1"/>
        <v>71430.342723004695</v>
      </c>
      <c r="H16" s="182"/>
    </row>
    <row r="17" spans="1:8" ht="15" customHeight="1" x14ac:dyDescent="0.25">
      <c r="A17" s="159"/>
      <c r="B17" s="269">
        <v>25.5</v>
      </c>
      <c r="C17" s="269">
        <v>2495</v>
      </c>
      <c r="D17" s="432">
        <f>128452.31*1.05</f>
        <v>134874.92550000001</v>
      </c>
      <c r="E17" s="432">
        <f>174750.15</f>
        <v>174750.15</v>
      </c>
      <c r="F17" s="287">
        <f t="shared" si="0"/>
        <v>54058.086372745493</v>
      </c>
      <c r="G17" s="287">
        <f t="shared" si="1"/>
        <v>70040.140280561114</v>
      </c>
      <c r="H17" s="182"/>
    </row>
    <row r="18" spans="1:8" ht="15" customHeight="1" x14ac:dyDescent="0.25">
      <c r="A18" s="159"/>
      <c r="B18" s="269">
        <v>27</v>
      </c>
      <c r="C18" s="269">
        <v>2800</v>
      </c>
      <c r="D18" s="432">
        <f>143901.9*1.05</f>
        <v>151096.995</v>
      </c>
      <c r="E18" s="432">
        <f>195618.03</f>
        <v>195618.03</v>
      </c>
      <c r="F18" s="287">
        <f t="shared" si="0"/>
        <v>53963.212499999994</v>
      </c>
      <c r="G18" s="287">
        <f t="shared" si="1"/>
        <v>69863.582142857136</v>
      </c>
      <c r="H18" s="182"/>
    </row>
    <row r="19" spans="1:8" ht="15" customHeight="1" x14ac:dyDescent="0.25">
      <c r="A19" s="159"/>
      <c r="B19" s="269">
        <v>29</v>
      </c>
      <c r="C19" s="269">
        <v>3215</v>
      </c>
      <c r="D19" s="432">
        <f>163782.95*1.05</f>
        <v>171972.09750000003</v>
      </c>
      <c r="E19" s="432">
        <f>222659.57</f>
        <v>222659.57</v>
      </c>
      <c r="F19" s="287">
        <f t="shared" si="0"/>
        <v>53490.543545878703</v>
      </c>
      <c r="G19" s="287">
        <f t="shared" si="1"/>
        <v>69256.475894245727</v>
      </c>
      <c r="H19" s="182"/>
    </row>
    <row r="20" spans="1:8" ht="15" customHeight="1" x14ac:dyDescent="0.25">
      <c r="A20" s="159"/>
      <c r="B20" s="269">
        <v>31</v>
      </c>
      <c r="C20" s="269">
        <v>3655</v>
      </c>
      <c r="D20" s="432">
        <f>184708.13*1.05</f>
        <v>193943.53650000002</v>
      </c>
      <c r="E20" s="432">
        <f>251141.48</f>
        <v>251141.48</v>
      </c>
      <c r="F20" s="287">
        <f t="shared" si="0"/>
        <v>53062.527086183312</v>
      </c>
      <c r="G20" s="287">
        <f t="shared" si="1"/>
        <v>68711.759233926132</v>
      </c>
      <c r="H20" s="182"/>
    </row>
    <row r="21" spans="1:8" ht="15" customHeight="1" x14ac:dyDescent="0.25">
      <c r="A21" s="159"/>
      <c r="B21" s="269">
        <v>33</v>
      </c>
      <c r="C21" s="269">
        <v>4155</v>
      </c>
      <c r="D21" s="432">
        <f>209761.53*1.05</f>
        <v>220249.60649999999</v>
      </c>
      <c r="E21" s="432">
        <f>285389.38</f>
        <v>285389.38</v>
      </c>
      <c r="F21" s="287">
        <f t="shared" si="0"/>
        <v>53008.328880866422</v>
      </c>
      <c r="G21" s="287">
        <f t="shared" si="1"/>
        <v>68685.771359807462</v>
      </c>
      <c r="H21" s="182"/>
    </row>
    <row r="22" spans="1:8" ht="15" customHeight="1" x14ac:dyDescent="0.25">
      <c r="A22" s="159"/>
      <c r="B22" s="269">
        <v>34.5</v>
      </c>
      <c r="C22" s="269">
        <v>4550</v>
      </c>
      <c r="D22" s="432">
        <f>228678.7*1.05</f>
        <v>240112.63500000001</v>
      </c>
      <c r="E22" s="432">
        <f>311089.67</f>
        <v>311089.67</v>
      </c>
      <c r="F22" s="287">
        <f t="shared" si="0"/>
        <v>52772.007692307699</v>
      </c>
      <c r="G22" s="287">
        <f t="shared" si="1"/>
        <v>68371.356043956039</v>
      </c>
      <c r="H22" s="182"/>
    </row>
    <row r="23" spans="1:8" ht="15" customHeight="1" x14ac:dyDescent="0.25">
      <c r="A23" s="159"/>
      <c r="B23" s="269">
        <v>36.5</v>
      </c>
      <c r="C23" s="269">
        <v>4965</v>
      </c>
      <c r="D23" s="432">
        <f>248637.37*1.05</f>
        <v>261069.23850000001</v>
      </c>
      <c r="E23" s="432">
        <f>338290.21</f>
        <v>338290.21</v>
      </c>
      <c r="F23" s="287">
        <f t="shared" si="0"/>
        <v>52581.921148036257</v>
      </c>
      <c r="G23" s="287">
        <f t="shared" si="1"/>
        <v>68134.986908358507</v>
      </c>
      <c r="H23" s="182"/>
    </row>
    <row r="24" spans="1:8" ht="15" customHeight="1" x14ac:dyDescent="0.25">
      <c r="A24" s="159"/>
      <c r="B24" s="269">
        <v>38</v>
      </c>
      <c r="C24" s="269">
        <v>5510</v>
      </c>
      <c r="D24" s="432">
        <f>279260.94*1.05</f>
        <v>293223.98700000002</v>
      </c>
      <c r="E24" s="432">
        <f>379873.17</f>
        <v>379873.17</v>
      </c>
      <c r="F24" s="287">
        <f t="shared" si="0"/>
        <v>53216.694555353904</v>
      </c>
      <c r="G24" s="287">
        <f t="shared" si="1"/>
        <v>68942.499092558981</v>
      </c>
      <c r="H24" s="182"/>
    </row>
    <row r="25" spans="1:8" ht="15" customHeight="1" x14ac:dyDescent="0.25">
      <c r="A25" s="159"/>
      <c r="B25" s="269">
        <v>39.5</v>
      </c>
      <c r="C25" s="269">
        <v>6080</v>
      </c>
      <c r="D25" s="432">
        <f>308110.83*1.05</f>
        <v>323516.37150000001</v>
      </c>
      <c r="E25" s="432">
        <f>419013.9</f>
        <v>419013.9</v>
      </c>
      <c r="F25" s="287">
        <f t="shared" si="0"/>
        <v>53209.929523026316</v>
      </c>
      <c r="G25" s="287">
        <f t="shared" si="1"/>
        <v>68916.759868421053</v>
      </c>
      <c r="H25" s="182"/>
    </row>
    <row r="26" spans="1:8" ht="15" customHeight="1" x14ac:dyDescent="0.25">
      <c r="A26" s="159"/>
      <c r="B26" s="269">
        <v>42</v>
      </c>
      <c r="C26" s="269">
        <v>6750</v>
      </c>
      <c r="D26" s="432">
        <f>337652.12*1.05</f>
        <v>354534.72600000002</v>
      </c>
      <c r="E26" s="432">
        <f>459152.67</f>
        <v>459152.67</v>
      </c>
      <c r="F26" s="287">
        <f t="shared" si="0"/>
        <v>52523.663111111113</v>
      </c>
      <c r="G26" s="287">
        <f t="shared" si="1"/>
        <v>68022.617777777778</v>
      </c>
      <c r="H26" s="182"/>
    </row>
    <row r="27" spans="1:8" ht="15" customHeight="1" x14ac:dyDescent="0.25">
      <c r="A27" s="159"/>
      <c r="B27" s="269">
        <v>43</v>
      </c>
      <c r="C27" s="269">
        <v>7120</v>
      </c>
      <c r="D27" s="432">
        <f>355981.49*1.05</f>
        <v>373780.56449999998</v>
      </c>
      <c r="E27" s="432">
        <f>484026.66</f>
        <v>484026.66</v>
      </c>
      <c r="F27" s="287">
        <f t="shared" si="0"/>
        <v>52497.270294943817</v>
      </c>
      <c r="G27" s="287">
        <f t="shared" si="1"/>
        <v>67981.27247191011</v>
      </c>
      <c r="H27" s="182"/>
    </row>
    <row r="28" spans="1:8" ht="15" customHeight="1" x14ac:dyDescent="0.25">
      <c r="A28" s="159"/>
      <c r="B28" s="269">
        <v>44.5</v>
      </c>
      <c r="C28" s="269">
        <v>7770</v>
      </c>
      <c r="D28" s="432">
        <f>388455.47*1.05</f>
        <v>407878.24349999998</v>
      </c>
      <c r="E28" s="432">
        <f>528156.47</f>
        <v>528156.47</v>
      </c>
      <c r="F28" s="287">
        <f t="shared" si="0"/>
        <v>52493.982432432429</v>
      </c>
      <c r="G28" s="287">
        <f t="shared" si="1"/>
        <v>67973.805662805666</v>
      </c>
      <c r="H28" s="182"/>
    </row>
    <row r="29" spans="1:8" ht="15" customHeight="1" x14ac:dyDescent="0.25">
      <c r="A29" s="159"/>
      <c r="B29" s="269">
        <v>46.5</v>
      </c>
      <c r="C29" s="269">
        <v>8400</v>
      </c>
      <c r="D29" s="432">
        <f>411777.6*1.05</f>
        <v>432366.48</v>
      </c>
      <c r="E29" s="432">
        <f>559799.6</f>
        <v>559799.6</v>
      </c>
      <c r="F29" s="287">
        <f t="shared" si="0"/>
        <v>51472.200000000004</v>
      </c>
      <c r="G29" s="287">
        <f t="shared" si="1"/>
        <v>66642.809523809512</v>
      </c>
      <c r="H29" s="182"/>
    </row>
    <row r="30" spans="1:8" ht="15" customHeight="1" x14ac:dyDescent="0.25">
      <c r="A30" s="159"/>
      <c r="B30" s="269">
        <v>48.5</v>
      </c>
      <c r="C30" s="269">
        <v>9155</v>
      </c>
      <c r="D30" s="432">
        <f>435310.18*1.05</f>
        <v>457075.68900000001</v>
      </c>
      <c r="E30" s="432">
        <f>591890.61</f>
        <v>591890.61</v>
      </c>
      <c r="F30" s="287">
        <f t="shared" si="0"/>
        <v>49926.345057345716</v>
      </c>
      <c r="G30" s="287">
        <f t="shared" si="1"/>
        <v>64652.169306389951</v>
      </c>
      <c r="H30" s="182"/>
    </row>
    <row r="31" spans="1:8" ht="15" customHeight="1" x14ac:dyDescent="0.25">
      <c r="A31" s="159"/>
      <c r="B31" s="269">
        <v>50.5</v>
      </c>
      <c r="C31" s="269">
        <v>9940</v>
      </c>
      <c r="D31" s="432">
        <f>472229.37*1.05</f>
        <v>495840.83850000001</v>
      </c>
      <c r="E31" s="432">
        <f>642240.29</f>
        <v>642240.29</v>
      </c>
      <c r="F31" s="287">
        <f t="shared" si="0"/>
        <v>49883.384154929583</v>
      </c>
      <c r="G31" s="287">
        <f t="shared" si="1"/>
        <v>64611.69919517103</v>
      </c>
      <c r="H31" s="182"/>
    </row>
    <row r="32" spans="1:8" ht="15" customHeight="1" x14ac:dyDescent="0.25">
      <c r="A32" s="159"/>
      <c r="B32" s="269">
        <v>53.5</v>
      </c>
      <c r="C32" s="269">
        <v>11150</v>
      </c>
      <c r="D32" s="432">
        <f>529201.66*1.05</f>
        <v>555661.74300000002</v>
      </c>
      <c r="E32" s="432">
        <f>719758.74</f>
        <v>719758.74</v>
      </c>
      <c r="F32" s="287">
        <f t="shared" si="0"/>
        <v>49835.133901345296</v>
      </c>
      <c r="G32" s="287">
        <f t="shared" si="1"/>
        <v>64552.353363228707</v>
      </c>
      <c r="H32" s="182"/>
    </row>
    <row r="33" spans="1:8" ht="15" customHeight="1" x14ac:dyDescent="0.25">
      <c r="A33" s="159"/>
      <c r="B33" s="269">
        <v>56</v>
      </c>
      <c r="C33" s="269">
        <v>12050</v>
      </c>
      <c r="D33" s="432">
        <f>571339.98*1.05</f>
        <v>599906.97900000005</v>
      </c>
      <c r="E33" s="432">
        <f>777046.15</f>
        <v>777046.15</v>
      </c>
      <c r="F33" s="287">
        <f t="shared" si="0"/>
        <v>49784.811535269713</v>
      </c>
      <c r="G33" s="287">
        <f t="shared" si="1"/>
        <v>64485.15767634855</v>
      </c>
      <c r="H33" s="182"/>
    </row>
    <row r="34" spans="1:8" ht="15" customHeight="1" x14ac:dyDescent="0.25">
      <c r="A34" s="159"/>
      <c r="B34" s="269">
        <v>58.5</v>
      </c>
      <c r="C34" s="269">
        <v>13000</v>
      </c>
      <c r="D34" s="432">
        <f>616140.83*1.05</f>
        <v>646947.87150000001</v>
      </c>
      <c r="E34" s="432">
        <f>837965.15</f>
        <v>837965.15</v>
      </c>
      <c r="F34" s="287">
        <f t="shared" si="0"/>
        <v>49765.220884615388</v>
      </c>
      <c r="G34" s="287">
        <f t="shared" si="1"/>
        <v>64458.857692307691</v>
      </c>
      <c r="H34" s="182"/>
    </row>
    <row r="35" spans="1:8" ht="15" customHeight="1" x14ac:dyDescent="0.25">
      <c r="A35" s="159"/>
      <c r="B35" s="269">
        <v>60.5</v>
      </c>
      <c r="C35" s="269">
        <v>14250</v>
      </c>
      <c r="D35" s="432">
        <f>672824.98*1.05</f>
        <v>706466.22900000005</v>
      </c>
      <c r="E35" s="432">
        <f>915203.45</f>
        <v>915203.45</v>
      </c>
      <c r="F35" s="287">
        <f t="shared" si="0"/>
        <v>49576.577473684214</v>
      </c>
      <c r="G35" s="287">
        <f t="shared" si="1"/>
        <v>64224.803508771925</v>
      </c>
      <c r="H35" s="182"/>
    </row>
    <row r="36" spans="1:8" ht="15" customHeight="1" x14ac:dyDescent="0.25">
      <c r="A36" s="159"/>
      <c r="B36" s="269">
        <v>63</v>
      </c>
      <c r="C36" s="269">
        <v>15200</v>
      </c>
      <c r="D36" s="432">
        <f>716961.63*1.05</f>
        <v>752809.71150000009</v>
      </c>
      <c r="E36" s="432">
        <f>974737.3</f>
        <v>974737.3</v>
      </c>
      <c r="F36" s="287">
        <f t="shared" si="0"/>
        <v>49526.954703947376</v>
      </c>
      <c r="G36" s="287">
        <f t="shared" si="1"/>
        <v>64127.45394736842</v>
      </c>
      <c r="H36" s="182"/>
    </row>
    <row r="37" spans="1:8" x14ac:dyDescent="0.25">
      <c r="A37" s="159"/>
      <c r="B37" s="269">
        <v>65</v>
      </c>
      <c r="C37" s="269">
        <v>16100</v>
      </c>
      <c r="D37" s="432">
        <f>756228.96*1.05</f>
        <v>794040.40799999994</v>
      </c>
      <c r="E37" s="432">
        <f>1028419.7</f>
        <v>1028419.7</v>
      </c>
      <c r="F37" s="287">
        <f t="shared" si="0"/>
        <v>49319.28</v>
      </c>
      <c r="G37" s="287">
        <f t="shared" si="1"/>
        <v>63876.999999999993</v>
      </c>
      <c r="H37" s="182"/>
    </row>
    <row r="38" spans="1:8" x14ac:dyDescent="0.25">
      <c r="A38" s="159"/>
      <c r="B38" s="290">
        <v>68</v>
      </c>
      <c r="C38" s="289">
        <v>17700</v>
      </c>
      <c r="D38" s="432">
        <f>824826.48*1.05</f>
        <v>866067.804</v>
      </c>
      <c r="E38" s="432">
        <f>1121342.12</f>
        <v>1121342.1200000001</v>
      </c>
      <c r="F38" s="287">
        <f t="shared" si="0"/>
        <v>48930.38440677966</v>
      </c>
      <c r="G38" s="287">
        <f t="shared" si="1"/>
        <v>63352.662146892661</v>
      </c>
      <c r="H38" s="182"/>
    </row>
    <row r="39" spans="1:8" x14ac:dyDescent="0.25">
      <c r="A39" s="159"/>
      <c r="B39" s="290">
        <v>72</v>
      </c>
      <c r="C39" s="289">
        <v>19800</v>
      </c>
      <c r="D39" s="432">
        <f>917634.41*1.05</f>
        <v>963516.13050000009</v>
      </c>
      <c r="E39" s="432">
        <f>1247513.23</f>
        <v>1247513.23</v>
      </c>
      <c r="F39" s="287">
        <f t="shared" si="0"/>
        <v>48662.430833333339</v>
      </c>
      <c r="G39" s="287">
        <f t="shared" si="1"/>
        <v>63005.718686868684</v>
      </c>
      <c r="H39" s="182"/>
    </row>
    <row r="40" spans="1:8" x14ac:dyDescent="0.25">
      <c r="H40" s="24"/>
    </row>
    <row r="41" spans="1:8" x14ac:dyDescent="0.25">
      <c r="H41" s="24"/>
    </row>
    <row r="42" spans="1:8" x14ac:dyDescent="0.25">
      <c r="C42" s="6"/>
      <c r="D42" s="6"/>
      <c r="E42" s="6"/>
      <c r="F42" s="6"/>
      <c r="G42" s="6"/>
      <c r="H42" s="24"/>
    </row>
    <row r="43" spans="1:8" x14ac:dyDescent="0.25">
      <c r="C43" s="6"/>
      <c r="D43" s="658"/>
      <c r="E43" s="658"/>
      <c r="F43" s="658"/>
      <c r="G43" s="658"/>
      <c r="H43" s="24"/>
    </row>
    <row r="44" spans="1:8" x14ac:dyDescent="0.25">
      <c r="C44" s="6"/>
      <c r="D44" s="658"/>
      <c r="E44" s="658"/>
      <c r="F44" s="658"/>
      <c r="G44" s="658"/>
      <c r="H44" s="24"/>
    </row>
    <row r="45" spans="1:8" x14ac:dyDescent="0.25">
      <c r="C45" s="6"/>
      <c r="D45" s="6"/>
      <c r="E45" s="6"/>
      <c r="F45" s="6"/>
      <c r="G45" s="6"/>
      <c r="H45" s="24"/>
    </row>
    <row r="46" spans="1:8" x14ac:dyDescent="0.25">
      <c r="C46" s="6"/>
      <c r="D46" s="6"/>
      <c r="E46" s="6"/>
      <c r="F46" s="6"/>
      <c r="G46" s="6"/>
      <c r="H46" s="24"/>
    </row>
    <row r="47" spans="1:8" x14ac:dyDescent="0.25">
      <c r="C47" s="6"/>
      <c r="D47" s="6"/>
      <c r="E47" s="6"/>
      <c r="F47" s="6"/>
      <c r="G47" s="6"/>
      <c r="H47" s="24"/>
    </row>
    <row r="48" spans="1:8" x14ac:dyDescent="0.25">
      <c r="C48" s="6"/>
      <c r="D48" s="6"/>
      <c r="E48" s="6"/>
      <c r="F48" s="6"/>
      <c r="G48" s="6"/>
      <c r="H48" s="24"/>
    </row>
  </sheetData>
  <mergeCells count="11">
    <mergeCell ref="D43:E43"/>
    <mergeCell ref="F43:G43"/>
    <mergeCell ref="D44:E44"/>
    <mergeCell ref="F44:G44"/>
    <mergeCell ref="B2:E2"/>
    <mergeCell ref="F2:G3"/>
    <mergeCell ref="B3:E3"/>
    <mergeCell ref="B4:B5"/>
    <mergeCell ref="C4:C5"/>
    <mergeCell ref="D4:E4"/>
    <mergeCell ref="F4:G4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L77"/>
  <sheetViews>
    <sheetView view="pageBreakPreview" zoomScale="85" zoomScaleNormal="75" workbookViewId="0"/>
  </sheetViews>
  <sheetFormatPr defaultColWidth="8.88671875" defaultRowHeight="13.2" x14ac:dyDescent="0.25"/>
  <cols>
    <col min="1" max="1" width="8.88671875" style="24"/>
    <col min="2" max="2" width="12" style="3" customWidth="1"/>
    <col min="3" max="3" width="21.44140625" style="3" customWidth="1"/>
    <col min="4" max="5" width="14.33203125" style="3" customWidth="1"/>
    <col min="6" max="7" width="12.6640625" style="3" customWidth="1"/>
    <col min="8" max="8" width="11.5546875" style="3" bestFit="1" customWidth="1"/>
    <col min="9" max="11" width="8.88671875" style="3"/>
    <col min="12" max="12" width="9.44140625" style="3" bestFit="1" customWidth="1"/>
    <col min="13" max="16384" width="8.88671875" style="3"/>
  </cols>
  <sheetData>
    <row r="1" spans="1:8" ht="13.2" customHeight="1" x14ac:dyDescent="0.25">
      <c r="G1" s="29">
        <v>41000</v>
      </c>
      <c r="H1" s="54" t="s">
        <v>466</v>
      </c>
    </row>
    <row r="2" spans="1:8" x14ac:dyDescent="0.25">
      <c r="B2" s="594" t="s">
        <v>158</v>
      </c>
      <c r="C2" s="595"/>
      <c r="D2" s="595"/>
      <c r="E2" s="602"/>
      <c r="F2" s="659" t="s">
        <v>160</v>
      </c>
      <c r="G2" s="568"/>
      <c r="H2" s="24"/>
    </row>
    <row r="3" spans="1:8" x14ac:dyDescent="0.25">
      <c r="B3" s="600" t="s">
        <v>161</v>
      </c>
      <c r="C3" s="601"/>
      <c r="D3" s="601"/>
      <c r="E3" s="603"/>
      <c r="F3" s="659"/>
      <c r="G3" s="568"/>
      <c r="H3" s="24"/>
    </row>
    <row r="4" spans="1:8" ht="27.6" customHeight="1" x14ac:dyDescent="0.25">
      <c r="B4" s="565" t="s">
        <v>104</v>
      </c>
      <c r="C4" s="565" t="s">
        <v>119</v>
      </c>
      <c r="D4" s="565" t="s">
        <v>501</v>
      </c>
      <c r="E4" s="565"/>
      <c r="F4" s="565" t="s">
        <v>500</v>
      </c>
      <c r="G4" s="565"/>
      <c r="H4" s="24"/>
    </row>
    <row r="5" spans="1:8" x14ac:dyDescent="0.25">
      <c r="A5" s="180"/>
      <c r="B5" s="565"/>
      <c r="C5" s="565"/>
      <c r="D5" s="420" t="s">
        <v>120</v>
      </c>
      <c r="E5" s="420" t="s">
        <v>264</v>
      </c>
      <c r="F5" s="420" t="s">
        <v>120</v>
      </c>
      <c r="G5" s="420" t="s">
        <v>264</v>
      </c>
      <c r="H5" s="24"/>
    </row>
    <row r="6" spans="1:8" x14ac:dyDescent="0.25">
      <c r="A6" s="162"/>
      <c r="B6" s="290">
        <v>8.6</v>
      </c>
      <c r="C6" s="315">
        <v>328</v>
      </c>
      <c r="D6" s="261">
        <f>34786.84*1.05</f>
        <v>36526.182000000001</v>
      </c>
      <c r="E6" s="261">
        <f>45045.97*1.05</f>
        <v>47298.268500000006</v>
      </c>
      <c r="F6" s="287">
        <f t="shared" ref="F6:F33" si="0">D6/C6*1000</f>
        <v>111360.31097560977</v>
      </c>
      <c r="G6" s="287">
        <f t="shared" ref="G6:G33" si="1">E6/C6*1000</f>
        <v>144202.0381097561</v>
      </c>
      <c r="H6" s="182"/>
    </row>
    <row r="7" spans="1:8" x14ac:dyDescent="0.25">
      <c r="A7" s="159"/>
      <c r="B7" s="290">
        <v>10.5</v>
      </c>
      <c r="C7" s="315">
        <v>482</v>
      </c>
      <c r="D7" s="261">
        <f>45267.28*1.05</f>
        <v>47530.644</v>
      </c>
      <c r="E7" s="261">
        <f>58613.58*1.05</f>
        <v>61544.259000000005</v>
      </c>
      <c r="F7" s="287">
        <f t="shared" si="0"/>
        <v>98611.294605809133</v>
      </c>
      <c r="G7" s="287">
        <f t="shared" si="1"/>
        <v>127685.18464730291</v>
      </c>
      <c r="H7" s="182"/>
    </row>
    <row r="8" spans="1:8" x14ac:dyDescent="0.25">
      <c r="A8" s="159"/>
      <c r="B8" s="290">
        <v>13</v>
      </c>
      <c r="C8" s="315">
        <v>733</v>
      </c>
      <c r="D8" s="261">
        <f>59204.11*1.05</f>
        <v>62164.315500000004</v>
      </c>
      <c r="E8" s="261">
        <f>76692.55*1.05</f>
        <v>80527.177500000005</v>
      </c>
      <c r="F8" s="287">
        <f t="shared" si="0"/>
        <v>84808.070259208733</v>
      </c>
      <c r="G8" s="287">
        <f t="shared" si="1"/>
        <v>109859.72373806276</v>
      </c>
      <c r="H8" s="182"/>
    </row>
    <row r="9" spans="1:8" x14ac:dyDescent="0.25">
      <c r="A9" s="159"/>
      <c r="B9" s="290">
        <v>14.5</v>
      </c>
      <c r="C9" s="315">
        <v>906</v>
      </c>
      <c r="D9" s="261">
        <f>66459.89*1.05</f>
        <v>69782.8845</v>
      </c>
      <c r="E9" s="261">
        <f>86041.46*1.05</f>
        <v>90343.53300000001</v>
      </c>
      <c r="F9" s="287">
        <f t="shared" si="0"/>
        <v>77023.051324503307</v>
      </c>
      <c r="G9" s="287">
        <f t="shared" si="1"/>
        <v>99716.923841059615</v>
      </c>
      <c r="H9" s="182"/>
    </row>
    <row r="10" spans="1:8" x14ac:dyDescent="0.25">
      <c r="A10" s="159"/>
      <c r="B10" s="290">
        <v>16</v>
      </c>
      <c r="C10" s="315">
        <v>1145</v>
      </c>
      <c r="D10" s="261">
        <f>81176*1.05</f>
        <v>85234.8</v>
      </c>
      <c r="E10" s="261">
        <f>105145.95*1.05</f>
        <v>110403.2475</v>
      </c>
      <c r="F10" s="287">
        <f t="shared" si="0"/>
        <v>74440.873362445418</v>
      </c>
      <c r="G10" s="287">
        <f t="shared" si="1"/>
        <v>96422.050218340621</v>
      </c>
      <c r="H10" s="182"/>
    </row>
    <row r="11" spans="1:8" x14ac:dyDescent="0.25">
      <c r="A11" s="159"/>
      <c r="B11" s="290">
        <v>17.5</v>
      </c>
      <c r="C11" s="315">
        <v>1360</v>
      </c>
      <c r="D11" s="261">
        <f>89949.51*1.05</f>
        <v>94446.985499999995</v>
      </c>
      <c r="E11" s="261">
        <f>116553.54*1.05</f>
        <v>122381.217</v>
      </c>
      <c r="F11" s="287">
        <f t="shared" si="0"/>
        <v>69446.312867647051</v>
      </c>
      <c r="G11" s="287">
        <f t="shared" si="1"/>
        <v>89986.18897058825</v>
      </c>
      <c r="H11" s="182"/>
    </row>
    <row r="12" spans="1:8" x14ac:dyDescent="0.25">
      <c r="A12" s="159"/>
      <c r="B12" s="290">
        <v>19.5</v>
      </c>
      <c r="C12" s="315">
        <v>1630</v>
      </c>
      <c r="D12" s="261">
        <f>101971.29*1.05</f>
        <v>107069.8545</v>
      </c>
      <c r="E12" s="261">
        <f>132097.28*1.05</f>
        <v>138702.144</v>
      </c>
      <c r="F12" s="287">
        <f t="shared" si="0"/>
        <v>65687.027300613496</v>
      </c>
      <c r="G12" s="287">
        <f t="shared" si="1"/>
        <v>85093.339877300605</v>
      </c>
      <c r="H12" s="182"/>
    </row>
    <row r="13" spans="1:8" x14ac:dyDescent="0.25">
      <c r="A13" s="159"/>
      <c r="B13" s="290">
        <v>21</v>
      </c>
      <c r="C13" s="315">
        <v>1950</v>
      </c>
      <c r="D13" s="261">
        <f>118167.5*1.05</f>
        <v>124075.875</v>
      </c>
      <c r="E13" s="261">
        <f>153093.1*1.05</f>
        <v>160747.755</v>
      </c>
      <c r="F13" s="287">
        <f t="shared" si="0"/>
        <v>63628.653846153844</v>
      </c>
      <c r="G13" s="287">
        <f t="shared" si="1"/>
        <v>82434.746153846165</v>
      </c>
      <c r="H13" s="182"/>
    </row>
    <row r="14" spans="1:8" x14ac:dyDescent="0.25">
      <c r="A14" s="159"/>
      <c r="B14" s="290">
        <v>23</v>
      </c>
      <c r="C14" s="315">
        <v>2290</v>
      </c>
      <c r="D14" s="261">
        <f>135795.15*1.05</f>
        <v>142584.9075</v>
      </c>
      <c r="E14" s="261">
        <f>175881.75*1.05</f>
        <v>184675.83749999999</v>
      </c>
      <c r="F14" s="287">
        <f t="shared" si="0"/>
        <v>62264.151746724892</v>
      </c>
      <c r="G14" s="287">
        <f t="shared" si="1"/>
        <v>80644.470524017466</v>
      </c>
      <c r="H14" s="182"/>
    </row>
    <row r="15" spans="1:8" x14ac:dyDescent="0.25">
      <c r="A15" s="159"/>
      <c r="B15" s="290">
        <v>25</v>
      </c>
      <c r="C15" s="315">
        <v>2660</v>
      </c>
      <c r="D15" s="261">
        <f>153252.06*1.05</f>
        <v>160914.663</v>
      </c>
      <c r="E15" s="261">
        <f>198547.8*1.05</f>
        <v>208475.19</v>
      </c>
      <c r="F15" s="287">
        <f t="shared" si="0"/>
        <v>60494.234210526316</v>
      </c>
      <c r="G15" s="287">
        <f t="shared" si="1"/>
        <v>78374.131578947374</v>
      </c>
      <c r="H15" s="182"/>
    </row>
    <row r="16" spans="1:8" x14ac:dyDescent="0.25">
      <c r="A16" s="159"/>
      <c r="B16" s="290">
        <v>26.5</v>
      </c>
      <c r="C16" s="315">
        <v>2975</v>
      </c>
      <c r="D16" s="261">
        <f>170287.06*1.05</f>
        <v>178801.413</v>
      </c>
      <c r="E16" s="261">
        <f>220565.71*1.05</f>
        <v>231593.99549999999</v>
      </c>
      <c r="F16" s="287">
        <f t="shared" si="0"/>
        <v>60101.315294117645</v>
      </c>
      <c r="G16" s="287">
        <f t="shared" si="1"/>
        <v>77846.721176470586</v>
      </c>
      <c r="H16" s="182"/>
    </row>
    <row r="17" spans="1:8" x14ac:dyDescent="0.25">
      <c r="A17" s="159"/>
      <c r="B17" s="290">
        <v>28</v>
      </c>
      <c r="C17" s="315">
        <v>3395</v>
      </c>
      <c r="D17" s="261">
        <f>192893.88*1.05</f>
        <v>202538.57400000002</v>
      </c>
      <c r="E17" s="261">
        <f>249910.99*1.05</f>
        <v>262406.53950000001</v>
      </c>
      <c r="F17" s="287">
        <f t="shared" si="0"/>
        <v>59657.901030927838</v>
      </c>
      <c r="G17" s="287">
        <f t="shared" si="1"/>
        <v>77292.058762886591</v>
      </c>
      <c r="H17" s="182"/>
    </row>
    <row r="18" spans="1:8" x14ac:dyDescent="0.25">
      <c r="A18" s="159"/>
      <c r="B18" s="290">
        <v>30</v>
      </c>
      <c r="C18" s="315">
        <v>3890</v>
      </c>
      <c r="D18" s="261">
        <f>218781.12*1.05</f>
        <v>229720.17600000001</v>
      </c>
      <c r="E18" s="261">
        <f>283467.42*1.05</f>
        <v>297640.79099999997</v>
      </c>
      <c r="F18" s="287">
        <f t="shared" si="0"/>
        <v>59054.029820051415</v>
      </c>
      <c r="G18" s="287">
        <f t="shared" si="1"/>
        <v>76514.342159383013</v>
      </c>
      <c r="H18" s="182"/>
    </row>
    <row r="19" spans="1:8" x14ac:dyDescent="0.25">
      <c r="A19" s="159"/>
      <c r="B19" s="290">
        <v>32.5</v>
      </c>
      <c r="C19" s="315">
        <v>4445</v>
      </c>
      <c r="D19" s="261">
        <f>245161.3*1.05</f>
        <v>257419.36499999999</v>
      </c>
      <c r="E19" s="261">
        <f>317559.31*1.05</f>
        <v>333437.27549999999</v>
      </c>
      <c r="F19" s="287">
        <f t="shared" si="0"/>
        <v>57912.118110236224</v>
      </c>
      <c r="G19" s="287">
        <f t="shared" si="1"/>
        <v>75014.010236220478</v>
      </c>
      <c r="H19" s="182"/>
    </row>
    <row r="20" spans="1:8" x14ac:dyDescent="0.25">
      <c r="A20" s="159"/>
      <c r="B20" s="290">
        <v>35.5</v>
      </c>
      <c r="C20" s="315">
        <v>5290</v>
      </c>
      <c r="D20" s="261">
        <f>290871.15*1.05</f>
        <v>305414.70750000002</v>
      </c>
      <c r="E20" s="261">
        <f>376871.65*1.05</f>
        <v>395715.23250000004</v>
      </c>
      <c r="F20" s="287">
        <f t="shared" si="0"/>
        <v>57734.349243856333</v>
      </c>
      <c r="G20" s="287">
        <f t="shared" si="1"/>
        <v>74804.391776937628</v>
      </c>
      <c r="H20" s="182"/>
    </row>
    <row r="21" spans="1:8" x14ac:dyDescent="0.25">
      <c r="A21" s="159"/>
      <c r="B21" s="290">
        <v>36.5</v>
      </c>
      <c r="C21" s="315">
        <v>5895</v>
      </c>
      <c r="D21" s="261">
        <f>321067.96*1.05</f>
        <v>337121.35800000001</v>
      </c>
      <c r="E21" s="261">
        <f>415945.26*1.05</f>
        <v>436742.52300000004</v>
      </c>
      <c r="F21" s="287">
        <f t="shared" si="0"/>
        <v>57187.677353689563</v>
      </c>
      <c r="G21" s="287">
        <f t="shared" si="1"/>
        <v>74086.941984732824</v>
      </c>
      <c r="H21" s="182"/>
    </row>
    <row r="22" spans="1:8" x14ac:dyDescent="0.25">
      <c r="A22" s="159"/>
      <c r="B22" s="290">
        <v>39</v>
      </c>
      <c r="C22" s="315">
        <v>6530</v>
      </c>
      <c r="D22" s="261">
        <f>352135.72*1.05</f>
        <v>369742.50599999999</v>
      </c>
      <c r="E22" s="261">
        <f>456024.64*1.05</f>
        <v>478825.87200000003</v>
      </c>
      <c r="F22" s="287">
        <f t="shared" si="0"/>
        <v>56622.129555895866</v>
      </c>
      <c r="G22" s="287">
        <f t="shared" si="1"/>
        <v>73327.08606431853</v>
      </c>
      <c r="H22" s="182"/>
    </row>
    <row r="23" spans="1:8" x14ac:dyDescent="0.25">
      <c r="A23" s="159"/>
      <c r="B23" s="290">
        <v>41</v>
      </c>
      <c r="C23" s="315">
        <v>7265</v>
      </c>
      <c r="D23" s="261">
        <f>391449.47*1.05</f>
        <v>411021.94349999999</v>
      </c>
      <c r="E23" s="261">
        <f>506827.86*1.05</f>
        <v>532169.25300000003</v>
      </c>
      <c r="F23" s="287">
        <f t="shared" si="0"/>
        <v>56575.628836889191</v>
      </c>
      <c r="G23" s="287">
        <f t="shared" si="1"/>
        <v>73251.101582931864</v>
      </c>
      <c r="H23" s="182"/>
    </row>
    <row r="24" spans="1:8" x14ac:dyDescent="0.25">
      <c r="A24" s="159"/>
      <c r="B24" s="290">
        <v>42</v>
      </c>
      <c r="C24" s="315">
        <v>7965</v>
      </c>
      <c r="D24" s="261">
        <f>426145.64*1.05</f>
        <v>447452.92200000002</v>
      </c>
      <c r="E24" s="261">
        <f>552055.94*1.05</f>
        <v>579658.73699999996</v>
      </c>
      <c r="F24" s="287">
        <f t="shared" si="0"/>
        <v>56177.391337099813</v>
      </c>
      <c r="G24" s="287">
        <f t="shared" si="1"/>
        <v>72775.735969868168</v>
      </c>
      <c r="H24" s="182"/>
    </row>
    <row r="25" spans="1:8" x14ac:dyDescent="0.25">
      <c r="A25" s="159"/>
      <c r="B25" s="290">
        <v>45.5</v>
      </c>
      <c r="C25" s="315">
        <v>9045</v>
      </c>
      <c r="D25" s="261">
        <f>476478.1*1.05</f>
        <v>500302.005</v>
      </c>
      <c r="E25" s="261">
        <f>617320.72*1.05</f>
        <v>648186.75600000005</v>
      </c>
      <c r="F25" s="287">
        <f t="shared" si="0"/>
        <v>55312.548922056383</v>
      </c>
      <c r="G25" s="287">
        <f t="shared" si="1"/>
        <v>71662.438474295195</v>
      </c>
      <c r="H25" s="182"/>
    </row>
    <row r="26" spans="1:8" x14ac:dyDescent="0.25">
      <c r="A26" s="159"/>
      <c r="B26" s="290">
        <v>49</v>
      </c>
      <c r="C26" s="315">
        <v>10600</v>
      </c>
      <c r="D26" s="261">
        <f>554502.91*1.05</f>
        <v>582228.05550000002</v>
      </c>
      <c r="E26" s="261">
        <f>718340.08*1.05</f>
        <v>754257.08400000003</v>
      </c>
      <c r="F26" s="287">
        <f t="shared" si="0"/>
        <v>54927.175047169811</v>
      </c>
      <c r="G26" s="287">
        <f t="shared" si="1"/>
        <v>71156.328679245285</v>
      </c>
      <c r="H26" s="182"/>
    </row>
    <row r="27" spans="1:8" x14ac:dyDescent="0.25">
      <c r="A27" s="159"/>
      <c r="B27" s="290">
        <v>52</v>
      </c>
      <c r="C27" s="315">
        <v>11850</v>
      </c>
      <c r="D27" s="261">
        <f>615396.06*1.05</f>
        <v>646165.86300000013</v>
      </c>
      <c r="E27" s="261">
        <f>797108.69*1.05</f>
        <v>836964.12450000003</v>
      </c>
      <c r="F27" s="287">
        <f t="shared" si="0"/>
        <v>54528.764810126595</v>
      </c>
      <c r="G27" s="287">
        <f t="shared" si="1"/>
        <v>70629.883924050635</v>
      </c>
      <c r="H27" s="182"/>
    </row>
    <row r="28" spans="1:8" x14ac:dyDescent="0.25">
      <c r="A28" s="159"/>
      <c r="B28" s="290">
        <v>57</v>
      </c>
      <c r="C28" s="315">
        <v>13900</v>
      </c>
      <c r="D28" s="261">
        <f>716700.4*1.05</f>
        <v>752535.42</v>
      </c>
      <c r="E28" s="261">
        <f>928436.46*1.05</f>
        <v>974858.28300000005</v>
      </c>
      <c r="F28" s="287">
        <f t="shared" si="0"/>
        <v>54139.238848920868</v>
      </c>
      <c r="G28" s="287">
        <f t="shared" si="1"/>
        <v>70133.689424460448</v>
      </c>
      <c r="H28" s="182"/>
    </row>
    <row r="29" spans="1:8" x14ac:dyDescent="0.25">
      <c r="A29" s="159"/>
      <c r="B29" s="290">
        <v>60.5</v>
      </c>
      <c r="C29" s="315">
        <v>15240</v>
      </c>
      <c r="D29" s="261">
        <f>783391.83*1.05</f>
        <v>822561.42149999994</v>
      </c>
      <c r="E29" s="261">
        <f>1014407.24*1.05</f>
        <v>1065127.602</v>
      </c>
      <c r="F29" s="287">
        <f t="shared" si="0"/>
        <v>53973.846555118107</v>
      </c>
      <c r="G29" s="287">
        <f t="shared" si="1"/>
        <v>69890.262598425194</v>
      </c>
      <c r="H29" s="182"/>
    </row>
    <row r="30" spans="1:8" x14ac:dyDescent="0.25">
      <c r="A30" s="159"/>
      <c r="B30" s="290">
        <v>61.5</v>
      </c>
      <c r="C30" s="315">
        <v>16250</v>
      </c>
      <c r="D30" s="261">
        <f>833637.69*1.05</f>
        <v>875319.57449999999</v>
      </c>
      <c r="E30" s="261">
        <f>1079962.95*1.05</f>
        <v>1133961.0974999999</v>
      </c>
      <c r="F30" s="287">
        <f t="shared" si="0"/>
        <v>53865.819969230768</v>
      </c>
      <c r="G30" s="287">
        <f t="shared" si="1"/>
        <v>69782.22138461539</v>
      </c>
      <c r="H30" s="182"/>
    </row>
    <row r="31" spans="1:8" x14ac:dyDescent="0.25">
      <c r="A31" s="159"/>
      <c r="B31" s="290">
        <v>64</v>
      </c>
      <c r="C31" s="315">
        <v>17148</v>
      </c>
      <c r="D31" s="261">
        <f>877815.54*1.05</f>
        <v>921706.31700000004</v>
      </c>
      <c r="E31" s="261">
        <f>1136800.37*1.05</f>
        <v>1193640.3885000001</v>
      </c>
      <c r="F31" s="287">
        <f t="shared" si="0"/>
        <v>53750.076801959418</v>
      </c>
      <c r="G31" s="287">
        <f t="shared" si="1"/>
        <v>69608.140220433881</v>
      </c>
      <c r="H31" s="182"/>
    </row>
    <row r="32" spans="1:8" x14ac:dyDescent="0.25">
      <c r="A32" s="159"/>
      <c r="B32" s="290">
        <v>68</v>
      </c>
      <c r="C32" s="315">
        <v>18775</v>
      </c>
      <c r="D32" s="261">
        <f>885138.7*1.05</f>
        <v>929395.63500000001</v>
      </c>
      <c r="E32" s="261">
        <f>1146250.5*1.05</f>
        <v>1203563.0250000001</v>
      </c>
      <c r="F32" s="287">
        <f t="shared" si="0"/>
        <v>49501.764846870843</v>
      </c>
      <c r="G32" s="287">
        <f t="shared" si="1"/>
        <v>64104.555259653804</v>
      </c>
      <c r="H32" s="182"/>
    </row>
    <row r="33" spans="1:12" x14ac:dyDescent="0.25">
      <c r="A33" s="159"/>
      <c r="B33" s="290">
        <v>72</v>
      </c>
      <c r="C33" s="315">
        <v>21125</v>
      </c>
      <c r="D33" s="261">
        <f>971799.73*1.05</f>
        <v>1020389.7165</v>
      </c>
      <c r="E33" s="261">
        <f>1258748.3*1.05</f>
        <v>1321685.7150000001</v>
      </c>
      <c r="F33" s="287">
        <f t="shared" si="0"/>
        <v>48302.471786982249</v>
      </c>
      <c r="G33" s="287">
        <f t="shared" si="1"/>
        <v>62565.004260355032</v>
      </c>
      <c r="H33" s="182"/>
    </row>
    <row r="34" spans="1:12" x14ac:dyDescent="0.25">
      <c r="B34" s="15"/>
      <c r="C34" s="18"/>
      <c r="D34" s="21"/>
      <c r="E34" s="21"/>
      <c r="F34" s="21"/>
      <c r="G34" s="21"/>
      <c r="H34" s="24"/>
    </row>
    <row r="35" spans="1:12" x14ac:dyDescent="0.25">
      <c r="H35" s="24"/>
    </row>
    <row r="36" spans="1:12" x14ac:dyDescent="0.25">
      <c r="G36" s="29">
        <v>41000</v>
      </c>
      <c r="H36" s="24"/>
    </row>
    <row r="37" spans="1:12" ht="13.2" customHeight="1" x14ac:dyDescent="0.25">
      <c r="B37" s="594" t="s">
        <v>516</v>
      </c>
      <c r="C37" s="595"/>
      <c r="D37" s="595"/>
      <c r="E37" s="602"/>
      <c r="F37" s="659" t="s">
        <v>726</v>
      </c>
      <c r="G37" s="586"/>
      <c r="H37" s="24"/>
    </row>
    <row r="38" spans="1:12" x14ac:dyDescent="0.25">
      <c r="B38" s="660" t="s">
        <v>517</v>
      </c>
      <c r="C38" s="661"/>
      <c r="D38" s="661"/>
      <c r="E38" s="662"/>
      <c r="F38" s="663"/>
      <c r="G38" s="586"/>
      <c r="H38" s="24"/>
    </row>
    <row r="39" spans="1:12" x14ac:dyDescent="0.25">
      <c r="B39" s="423" t="s">
        <v>588</v>
      </c>
      <c r="C39" s="424"/>
      <c r="D39" s="424"/>
      <c r="E39" s="425"/>
      <c r="F39" s="663"/>
      <c r="G39" s="586"/>
      <c r="H39" s="24"/>
    </row>
    <row r="40" spans="1:12" ht="13.2" customHeight="1" x14ac:dyDescent="0.25">
      <c r="B40" s="565" t="s">
        <v>104</v>
      </c>
      <c r="C40" s="565" t="s">
        <v>119</v>
      </c>
      <c r="D40" s="565" t="s">
        <v>718</v>
      </c>
      <c r="E40" s="565"/>
      <c r="F40" s="565" t="s">
        <v>500</v>
      </c>
      <c r="G40" s="565"/>
      <c r="H40" s="24"/>
    </row>
    <row r="41" spans="1:12" x14ac:dyDescent="0.25">
      <c r="B41" s="565"/>
      <c r="C41" s="565"/>
      <c r="D41" s="420" t="s">
        <v>120</v>
      </c>
      <c r="E41" s="420" t="s">
        <v>264</v>
      </c>
      <c r="F41" s="420" t="s">
        <v>120</v>
      </c>
      <c r="G41" s="420" t="s">
        <v>264</v>
      </c>
      <c r="H41" s="24"/>
      <c r="L41" s="24"/>
    </row>
    <row r="42" spans="1:12" x14ac:dyDescent="0.25">
      <c r="A42" s="150"/>
      <c r="B42" s="290">
        <v>39</v>
      </c>
      <c r="C42" s="419">
        <v>6720</v>
      </c>
      <c r="D42" s="261">
        <f>394727.93*1.05</f>
        <v>414464.32650000002</v>
      </c>
      <c r="E42" s="261">
        <f>511266.66*1.05</f>
        <v>536829.99300000002</v>
      </c>
      <c r="F42" s="287">
        <f>D42/C42*1000</f>
        <v>61676.239062500004</v>
      </c>
      <c r="G42" s="287">
        <f>E42/C42*1000</f>
        <v>79885.415625000009</v>
      </c>
      <c r="H42" s="24"/>
      <c r="L42" s="24"/>
    </row>
    <row r="43" spans="1:12" x14ac:dyDescent="0.25">
      <c r="B43" s="290">
        <v>45.5</v>
      </c>
      <c r="C43" s="315">
        <v>9270</v>
      </c>
      <c r="D43" s="261">
        <f>534108.96*1.05</f>
        <v>560814.40799999994</v>
      </c>
      <c r="E43" s="261">
        <f>691798.27*1.05</f>
        <v>726388.18350000004</v>
      </c>
      <c r="F43" s="287">
        <f>D43/C43*1000</f>
        <v>60497.778640776691</v>
      </c>
      <c r="G43" s="287">
        <f>E43/C43*1000</f>
        <v>78359.027346278323</v>
      </c>
      <c r="H43" s="24"/>
      <c r="L43" s="24"/>
    </row>
    <row r="44" spans="1:12" x14ac:dyDescent="0.25">
      <c r="B44" s="290">
        <v>52</v>
      </c>
      <c r="C44" s="315">
        <v>12290</v>
      </c>
      <c r="D44" s="261">
        <f>689829.69*1.05</f>
        <v>724321.17449999996</v>
      </c>
      <c r="E44" s="261">
        <f>893493.69*1.05</f>
        <v>938168.37450000003</v>
      </c>
      <c r="F44" s="287">
        <f>D44/C44*1000</f>
        <v>58935.815663140762</v>
      </c>
      <c r="G44" s="287">
        <f>E44/C44*1000</f>
        <v>76335.91330349879</v>
      </c>
      <c r="H44" s="24"/>
      <c r="L44" s="24"/>
    </row>
    <row r="45" spans="1:12" x14ac:dyDescent="0.25">
      <c r="B45" s="290">
        <v>57</v>
      </c>
      <c r="C45" s="315">
        <v>14390</v>
      </c>
      <c r="D45" s="261">
        <f>803387.04*1.05</f>
        <v>843556.39200000011</v>
      </c>
      <c r="E45" s="261">
        <f>1040577.49*1.05</f>
        <v>1092606.3645000001</v>
      </c>
      <c r="F45" s="287">
        <f>D45/C45*1000</f>
        <v>58621.014037526067</v>
      </c>
      <c r="G45" s="287">
        <f>E45/C45*1000</f>
        <v>75928.169874913132</v>
      </c>
      <c r="H45" s="24"/>
      <c r="L45" s="24"/>
    </row>
    <row r="46" spans="1:12" x14ac:dyDescent="0.25">
      <c r="B46" s="317">
        <v>64</v>
      </c>
      <c r="C46" s="318">
        <v>18220</v>
      </c>
      <c r="D46" s="433">
        <f>983153.42*1.05</f>
        <v>1032311.0910000001</v>
      </c>
      <c r="E46" s="433">
        <f>1273417.76*1.05</f>
        <v>1337088.648</v>
      </c>
      <c r="F46" s="319">
        <f>D46/C46*1000</f>
        <v>56658.127936333709</v>
      </c>
      <c r="G46" s="319">
        <f>E46/C46*1000</f>
        <v>73385.765532381993</v>
      </c>
      <c r="H46" s="24"/>
      <c r="L46" s="24"/>
    </row>
    <row r="47" spans="1:12" x14ac:dyDescent="0.25">
      <c r="B47" s="320" t="s">
        <v>727</v>
      </c>
      <c r="C47" s="321"/>
      <c r="D47" s="322"/>
      <c r="E47" s="322"/>
      <c r="F47" s="323"/>
      <c r="G47" s="324"/>
      <c r="H47" s="24"/>
      <c r="L47" s="24"/>
    </row>
    <row r="48" spans="1:12" x14ac:dyDescent="0.25">
      <c r="B48" s="290">
        <v>39</v>
      </c>
      <c r="C48" s="419">
        <v>6800</v>
      </c>
      <c r="D48" s="261">
        <f>415520.13*1.05</f>
        <v>436296.13650000002</v>
      </c>
      <c r="E48" s="261">
        <f>538197.51*1.05</f>
        <v>565107.38550000009</v>
      </c>
      <c r="F48" s="287">
        <f>D48/C48*1000</f>
        <v>64161.196544117643</v>
      </c>
      <c r="G48" s="287">
        <f>E48/C48*1000</f>
        <v>83104.027279411777</v>
      </c>
      <c r="H48" s="24"/>
      <c r="L48" s="24"/>
    </row>
    <row r="49" spans="1:12" x14ac:dyDescent="0.25">
      <c r="B49" s="290">
        <v>45.5</v>
      </c>
      <c r="C49" s="315">
        <v>9380</v>
      </c>
      <c r="D49" s="261">
        <f>562244.16*1.05</f>
        <v>590356.36800000002</v>
      </c>
      <c r="E49" s="261">
        <f>728240.06*1.05</f>
        <v>764652.06300000008</v>
      </c>
      <c r="F49" s="287">
        <f>D49/C49*1000</f>
        <v>62937.77910447761</v>
      </c>
      <c r="G49" s="287">
        <f>E49/C49*1000</f>
        <v>81519.40970149255</v>
      </c>
      <c r="H49" s="24"/>
      <c r="L49" s="24"/>
    </row>
    <row r="50" spans="1:12" x14ac:dyDescent="0.25">
      <c r="B50" s="290">
        <v>52</v>
      </c>
      <c r="C50" s="315">
        <v>12440</v>
      </c>
      <c r="D50" s="261">
        <f>726167.36*1.05</f>
        <v>762475.728</v>
      </c>
      <c r="E50" s="261">
        <f>940559.62*1.05</f>
        <v>987587.60100000002</v>
      </c>
      <c r="F50" s="287">
        <f>D50/C50*1000</f>
        <v>61292.261093247587</v>
      </c>
      <c r="G50" s="287">
        <f>E50/C50*1000</f>
        <v>79388.070819935689</v>
      </c>
      <c r="H50" s="24"/>
      <c r="L50" s="24"/>
    </row>
    <row r="51" spans="1:12" x14ac:dyDescent="0.25">
      <c r="B51" s="290">
        <v>57</v>
      </c>
      <c r="C51" s="315">
        <v>14560</v>
      </c>
      <c r="D51" s="261">
        <f>845706.48*1.05</f>
        <v>887991.804</v>
      </c>
      <c r="E51" s="261">
        <f>1095391.24*1.05</f>
        <v>1150160.8020000001</v>
      </c>
      <c r="F51" s="287">
        <f>D51/C51*1000</f>
        <v>60988.448076923079</v>
      </c>
      <c r="G51" s="287">
        <f>E51/C51*1000</f>
        <v>78994.56057692309</v>
      </c>
      <c r="H51" s="24"/>
      <c r="L51" s="24"/>
    </row>
    <row r="52" spans="1:12" x14ac:dyDescent="0.25">
      <c r="B52" s="290">
        <v>64</v>
      </c>
      <c r="C52" s="315">
        <v>18430</v>
      </c>
      <c r="D52" s="261">
        <f>1035822.34*1.05</f>
        <v>1087613.4569999999</v>
      </c>
      <c r="E52" s="261">
        <f>1341636.55*1.05</f>
        <v>1408718.3775000002</v>
      </c>
      <c r="F52" s="287">
        <f>D52/C52*1000</f>
        <v>59013.20982094411</v>
      </c>
      <c r="G52" s="287">
        <f>E52/C52*1000</f>
        <v>76436.157216494845</v>
      </c>
      <c r="H52" s="24"/>
      <c r="L52" s="24"/>
    </row>
    <row r="53" spans="1:12" ht="13.95" customHeight="1" x14ac:dyDescent="0.25">
      <c r="H53" s="24"/>
    </row>
    <row r="54" spans="1:12" ht="13.2" customHeight="1" x14ac:dyDescent="0.25">
      <c r="C54" s="24"/>
      <c r="G54" s="29">
        <v>41000</v>
      </c>
      <c r="H54" s="24"/>
    </row>
    <row r="55" spans="1:12" ht="13.95" customHeight="1" x14ac:dyDescent="0.25">
      <c r="B55" s="594" t="s">
        <v>516</v>
      </c>
      <c r="C55" s="595"/>
      <c r="D55" s="595"/>
      <c r="E55" s="602"/>
      <c r="F55" s="659" t="s">
        <v>728</v>
      </c>
      <c r="G55" s="568"/>
      <c r="H55" s="24"/>
    </row>
    <row r="56" spans="1:12" ht="13.2" customHeight="1" x14ac:dyDescent="0.25">
      <c r="B56" s="660" t="s">
        <v>517</v>
      </c>
      <c r="C56" s="661"/>
      <c r="D56" s="661"/>
      <c r="E56" s="662"/>
      <c r="F56" s="659"/>
      <c r="G56" s="568"/>
      <c r="H56" s="24"/>
    </row>
    <row r="57" spans="1:12" ht="13.2" customHeight="1" x14ac:dyDescent="0.25">
      <c r="B57" s="423" t="s">
        <v>518</v>
      </c>
      <c r="C57" s="424"/>
      <c r="D57" s="424"/>
      <c r="E57" s="425"/>
      <c r="F57" s="659"/>
      <c r="G57" s="568"/>
      <c r="H57" s="24"/>
    </row>
    <row r="58" spans="1:12" x14ac:dyDescent="0.25">
      <c r="B58" s="565" t="s">
        <v>104</v>
      </c>
      <c r="C58" s="565" t="s">
        <v>119</v>
      </c>
      <c r="D58" s="565" t="s">
        <v>501</v>
      </c>
      <c r="E58" s="565"/>
      <c r="F58" s="565" t="s">
        <v>500</v>
      </c>
      <c r="G58" s="565"/>
      <c r="H58" s="24"/>
    </row>
    <row r="59" spans="1:12" x14ac:dyDescent="0.25">
      <c r="A59" s="150"/>
      <c r="B59" s="565"/>
      <c r="C59" s="565"/>
      <c r="D59" s="420" t="s">
        <v>120</v>
      </c>
      <c r="E59" s="420" t="s">
        <v>264</v>
      </c>
      <c r="F59" s="420" t="s">
        <v>120</v>
      </c>
      <c r="G59" s="420" t="s">
        <v>264</v>
      </c>
      <c r="H59" s="24"/>
    </row>
    <row r="60" spans="1:12" x14ac:dyDescent="0.25">
      <c r="A60" s="435"/>
      <c r="B60" s="290">
        <v>26</v>
      </c>
      <c r="C60" s="316">
        <v>3100</v>
      </c>
      <c r="D60" s="261">
        <f>190883.95*1.05</f>
        <v>200428.14750000002</v>
      </c>
      <c r="E60" s="261">
        <v>259606.20703282204</v>
      </c>
      <c r="F60" s="287">
        <f t="shared" ref="F60:F65" si="2">D60/C60*1000</f>
        <v>64654.241129032271</v>
      </c>
      <c r="G60" s="287">
        <f t="shared" ref="G60:G65" si="3">E60/C60*1000</f>
        <v>83743.937752523241</v>
      </c>
      <c r="H60" s="24"/>
    </row>
    <row r="61" spans="1:12" x14ac:dyDescent="0.25">
      <c r="A61" s="435"/>
      <c r="B61" s="290">
        <v>28</v>
      </c>
      <c r="C61" s="316">
        <v>3580</v>
      </c>
      <c r="D61" s="261">
        <f>216225.16*1.05</f>
        <v>227036.41800000001</v>
      </c>
      <c r="E61" s="261">
        <v>294145.65033575491</v>
      </c>
      <c r="F61" s="287">
        <f t="shared" si="2"/>
        <v>63417.993854748602</v>
      </c>
      <c r="G61" s="287">
        <f t="shared" si="3"/>
        <v>82163.589479261151</v>
      </c>
      <c r="H61" s="24"/>
    </row>
    <row r="62" spans="1:12" x14ac:dyDescent="0.25">
      <c r="B62" s="290">
        <v>39</v>
      </c>
      <c r="C62" s="316">
        <v>6720</v>
      </c>
      <c r="D62" s="261">
        <f>394727.93*1.05</f>
        <v>414464.32650000002</v>
      </c>
      <c r="E62" s="261">
        <f>511266.66*1.05</f>
        <v>536829.99300000002</v>
      </c>
      <c r="F62" s="287">
        <f t="shared" si="2"/>
        <v>61676.239062500004</v>
      </c>
      <c r="G62" s="287">
        <f t="shared" si="3"/>
        <v>79885.415625000009</v>
      </c>
      <c r="H62" s="24"/>
    </row>
    <row r="63" spans="1:12" x14ac:dyDescent="0.25">
      <c r="B63" s="290">
        <v>45.5</v>
      </c>
      <c r="C63" s="315">
        <v>9270</v>
      </c>
      <c r="D63" s="261">
        <f>534108.96*1.05</f>
        <v>560814.40799999994</v>
      </c>
      <c r="E63" s="261">
        <f>691798.27*1.05</f>
        <v>726388.18350000004</v>
      </c>
      <c r="F63" s="287">
        <f t="shared" si="2"/>
        <v>60497.778640776691</v>
      </c>
      <c r="G63" s="287">
        <f t="shared" si="3"/>
        <v>78359.027346278323</v>
      </c>
      <c r="H63" s="24"/>
    </row>
    <row r="64" spans="1:12" x14ac:dyDescent="0.25">
      <c r="B64" s="290">
        <v>52</v>
      </c>
      <c r="C64" s="315">
        <v>12290</v>
      </c>
      <c r="D64" s="261">
        <f>689829.69*1.05</f>
        <v>724321.17449999996</v>
      </c>
      <c r="E64" s="261">
        <f>893493.69*1.05</f>
        <v>938168.37450000003</v>
      </c>
      <c r="F64" s="287">
        <f t="shared" si="2"/>
        <v>58935.815663140762</v>
      </c>
      <c r="G64" s="287">
        <f t="shared" si="3"/>
        <v>76335.91330349879</v>
      </c>
      <c r="H64" s="24"/>
    </row>
    <row r="65" spans="2:8" x14ac:dyDescent="0.25">
      <c r="B65" s="290">
        <v>57</v>
      </c>
      <c r="C65" s="315">
        <v>14390</v>
      </c>
      <c r="D65" s="261">
        <f>803387.04*1.05</f>
        <v>843556.39200000011</v>
      </c>
      <c r="E65" s="261">
        <f>1040577.49*1.05</f>
        <v>1092606.3645000001</v>
      </c>
      <c r="F65" s="287">
        <f t="shared" si="2"/>
        <v>58621.014037526067</v>
      </c>
      <c r="G65" s="287">
        <f t="shared" si="3"/>
        <v>75928.169874913132</v>
      </c>
      <c r="H65" s="24"/>
    </row>
    <row r="66" spans="2:8" x14ac:dyDescent="0.25">
      <c r="B66" s="15"/>
      <c r="C66" s="18"/>
      <c r="D66" s="21"/>
      <c r="E66" s="21"/>
      <c r="F66" s="21"/>
      <c r="G66" s="21"/>
      <c r="H66" s="24"/>
    </row>
    <row r="67" spans="2:8" x14ac:dyDescent="0.25">
      <c r="G67" s="29">
        <v>41000</v>
      </c>
      <c r="H67" s="24"/>
    </row>
    <row r="68" spans="2:8" x14ac:dyDescent="0.25">
      <c r="B68" s="594" t="s">
        <v>590</v>
      </c>
      <c r="C68" s="595"/>
      <c r="D68" s="595"/>
      <c r="E68" s="602"/>
      <c r="F68" s="659" t="s">
        <v>589</v>
      </c>
      <c r="G68" s="568"/>
      <c r="H68" s="24"/>
    </row>
    <row r="69" spans="2:8" x14ac:dyDescent="0.25">
      <c r="B69" s="660" t="s">
        <v>161</v>
      </c>
      <c r="C69" s="661"/>
      <c r="D69" s="661"/>
      <c r="E69" s="662"/>
      <c r="F69" s="659"/>
      <c r="G69" s="568"/>
      <c r="H69" s="24"/>
    </row>
    <row r="70" spans="2:8" ht="13.2" customHeight="1" x14ac:dyDescent="0.25">
      <c r="B70" s="423"/>
      <c r="C70" s="424"/>
      <c r="D70" s="424"/>
      <c r="E70" s="425"/>
      <c r="F70" s="659"/>
      <c r="G70" s="568"/>
      <c r="H70" s="24"/>
    </row>
    <row r="71" spans="2:8" x14ac:dyDescent="0.25">
      <c r="B71" s="565" t="s">
        <v>104</v>
      </c>
      <c r="C71" s="565" t="s">
        <v>119</v>
      </c>
      <c r="D71" s="565" t="s">
        <v>501</v>
      </c>
      <c r="E71" s="565"/>
      <c r="F71" s="565" t="s">
        <v>500</v>
      </c>
      <c r="G71" s="565"/>
      <c r="H71" s="24"/>
    </row>
    <row r="72" spans="2:8" x14ac:dyDescent="0.25">
      <c r="B72" s="565"/>
      <c r="C72" s="565"/>
      <c r="D72" s="420" t="s">
        <v>120</v>
      </c>
      <c r="E72" s="420" t="s">
        <v>264</v>
      </c>
      <c r="F72" s="420" t="s">
        <v>120</v>
      </c>
      <c r="G72" s="420" t="s">
        <v>264</v>
      </c>
      <c r="H72" s="24"/>
    </row>
    <row r="73" spans="2:8" x14ac:dyDescent="0.25">
      <c r="B73" s="290">
        <v>39</v>
      </c>
      <c r="C73" s="315">
        <v>6530</v>
      </c>
      <c r="D73" s="261">
        <f>352135.72*1.05</f>
        <v>369742.50599999999</v>
      </c>
      <c r="E73" s="261">
        <v>0</v>
      </c>
      <c r="F73" s="287">
        <f>D73/C73*1000</f>
        <v>56622.129555895866</v>
      </c>
      <c r="G73" s="261">
        <v>0</v>
      </c>
      <c r="H73" s="24"/>
    </row>
    <row r="74" spans="2:8" x14ac:dyDescent="0.25">
      <c r="B74" s="290">
        <v>45.5</v>
      </c>
      <c r="C74" s="315">
        <v>9045</v>
      </c>
      <c r="D74" s="261">
        <f>476478.1*1.05</f>
        <v>500302.005</v>
      </c>
      <c r="E74" s="261">
        <v>0</v>
      </c>
      <c r="F74" s="287">
        <f>D74/C74*1000</f>
        <v>55312.548922056383</v>
      </c>
      <c r="G74" s="261">
        <v>0</v>
      </c>
      <c r="H74" s="24"/>
    </row>
    <row r="75" spans="2:8" x14ac:dyDescent="0.25">
      <c r="B75" s="290">
        <v>52</v>
      </c>
      <c r="C75" s="315">
        <v>11850</v>
      </c>
      <c r="D75" s="261">
        <f>615396.06*1.05</f>
        <v>646165.86300000013</v>
      </c>
      <c r="E75" s="261">
        <v>0</v>
      </c>
      <c r="F75" s="287">
        <f>D75/C75*1000</f>
        <v>54528.764810126595</v>
      </c>
      <c r="G75" s="261">
        <v>0</v>
      </c>
      <c r="H75" s="24"/>
    </row>
    <row r="76" spans="2:8" x14ac:dyDescent="0.25">
      <c r="B76" s="290">
        <v>57</v>
      </c>
      <c r="C76" s="315">
        <v>13900</v>
      </c>
      <c r="D76" s="261">
        <f>716700.4*1.05</f>
        <v>752535.42</v>
      </c>
      <c r="E76" s="261">
        <v>0</v>
      </c>
      <c r="F76" s="287">
        <f>D76/C76*1000</f>
        <v>54139.238848920868</v>
      </c>
      <c r="G76" s="261">
        <v>0</v>
      </c>
      <c r="H76" s="24"/>
    </row>
    <row r="77" spans="2:8" x14ac:dyDescent="0.25">
      <c r="B77" s="290">
        <v>64</v>
      </c>
      <c r="C77" s="315">
        <v>17148</v>
      </c>
      <c r="D77" s="261">
        <f>877815.54*1.05</f>
        <v>921706.31700000004</v>
      </c>
      <c r="E77" s="261">
        <v>0</v>
      </c>
      <c r="F77" s="287">
        <f>D77/C77*1000</f>
        <v>53750.076801959418</v>
      </c>
      <c r="G77" s="261">
        <v>0</v>
      </c>
    </row>
  </sheetData>
  <mergeCells count="28">
    <mergeCell ref="B68:E68"/>
    <mergeCell ref="F68:G70"/>
    <mergeCell ref="B69:E69"/>
    <mergeCell ref="B71:B72"/>
    <mergeCell ref="C71:C72"/>
    <mergeCell ref="D71:E71"/>
    <mergeCell ref="F71:G71"/>
    <mergeCell ref="C40:C41"/>
    <mergeCell ref="D40:E40"/>
    <mergeCell ref="F40:G40"/>
    <mergeCell ref="F37:G39"/>
    <mergeCell ref="B37:E37"/>
    <mergeCell ref="B38:E38"/>
    <mergeCell ref="B40:B41"/>
    <mergeCell ref="F2:G3"/>
    <mergeCell ref="B3:E3"/>
    <mergeCell ref="B2:E2"/>
    <mergeCell ref="B4:B5"/>
    <mergeCell ref="C4:C5"/>
    <mergeCell ref="D4:E4"/>
    <mergeCell ref="F4:G4"/>
    <mergeCell ref="B55:E55"/>
    <mergeCell ref="F55:G57"/>
    <mergeCell ref="B56:E56"/>
    <mergeCell ref="B58:B59"/>
    <mergeCell ref="C58:C59"/>
    <mergeCell ref="D58:E58"/>
    <mergeCell ref="F58:G58"/>
  </mergeCells>
  <phoneticPr fontId="0" type="noConversion"/>
  <hyperlinks>
    <hyperlink ref="H1" location="'2'!A1" display="Оглавление"/>
  </hyperlinks>
  <printOptions horizontalCentered="1"/>
  <pageMargins left="0.78740157480314965" right="0.78740157480314965" top="0.78740157480314965" bottom="0.98425196850393704" header="0.31496062992125984" footer="0.51181102362204722"/>
  <pageSetup paperSize="9" scale="73" orientation="portrait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H33"/>
  <sheetViews>
    <sheetView view="pageBreakPreview" zoomScale="85" zoomScaleNormal="75" workbookViewId="0"/>
  </sheetViews>
  <sheetFormatPr defaultColWidth="8.88671875" defaultRowHeight="13.2" x14ac:dyDescent="0.25"/>
  <cols>
    <col min="1" max="1" width="8.88671875" style="24"/>
    <col min="2" max="2" width="11.33203125" style="10" customWidth="1"/>
    <col min="3" max="3" width="20.88671875" style="10" customWidth="1"/>
    <col min="4" max="4" width="11.5546875" style="10" bestFit="1" customWidth="1"/>
    <col min="5" max="5" width="12.5546875" style="10" customWidth="1"/>
    <col min="6" max="6" width="11.6640625" style="10" customWidth="1"/>
    <col min="7" max="7" width="12.88671875" style="10" bestFit="1" customWidth="1"/>
    <col min="8" max="8" width="11.5546875" style="10" bestFit="1" customWidth="1"/>
    <col min="9" max="16384" width="8.88671875" style="10"/>
  </cols>
  <sheetData>
    <row r="1" spans="1:8" x14ac:dyDescent="0.25">
      <c r="G1" s="29">
        <v>41000</v>
      </c>
      <c r="H1" s="54" t="s">
        <v>466</v>
      </c>
    </row>
    <row r="2" spans="1:8" x14ac:dyDescent="0.25">
      <c r="B2" s="594" t="s">
        <v>128</v>
      </c>
      <c r="C2" s="595"/>
      <c r="D2" s="595"/>
      <c r="E2" s="602"/>
      <c r="F2" s="568" t="s">
        <v>163</v>
      </c>
      <c r="G2" s="568"/>
      <c r="H2" s="24"/>
    </row>
    <row r="3" spans="1:8" x14ac:dyDescent="0.25">
      <c r="B3" s="600" t="s">
        <v>164</v>
      </c>
      <c r="C3" s="601"/>
      <c r="D3" s="601"/>
      <c r="E3" s="603"/>
      <c r="F3" s="568"/>
      <c r="G3" s="568"/>
      <c r="H3" s="24"/>
    </row>
    <row r="4" spans="1:8" ht="27.6" customHeight="1" x14ac:dyDescent="0.25">
      <c r="B4" s="664" t="s">
        <v>104</v>
      </c>
      <c r="C4" s="666" t="s">
        <v>119</v>
      </c>
      <c r="D4" s="666" t="s">
        <v>501</v>
      </c>
      <c r="E4" s="666"/>
      <c r="F4" s="666" t="s">
        <v>500</v>
      </c>
      <c r="G4" s="667"/>
      <c r="H4" s="24"/>
    </row>
    <row r="5" spans="1:8" x14ac:dyDescent="0.25">
      <c r="A5" s="125"/>
      <c r="B5" s="665"/>
      <c r="C5" s="565"/>
      <c r="D5" s="420" t="s">
        <v>120</v>
      </c>
      <c r="E5" s="420" t="s">
        <v>264</v>
      </c>
      <c r="F5" s="420" t="s">
        <v>120</v>
      </c>
      <c r="G5" s="325" t="s">
        <v>264</v>
      </c>
      <c r="H5" s="24"/>
    </row>
    <row r="6" spans="1:8" ht="15" customHeight="1" x14ac:dyDescent="0.25">
      <c r="A6" s="158"/>
      <c r="B6" s="326">
        <v>5.0999999999999996</v>
      </c>
      <c r="C6" s="327">
        <v>104</v>
      </c>
      <c r="D6" s="431">
        <f>15147.99*1.05</f>
        <v>15905.389500000001</v>
      </c>
      <c r="E6" s="431">
        <f>19639.52*1.05</f>
        <v>20621.496000000003</v>
      </c>
      <c r="F6" s="287">
        <f t="shared" ref="F6:F33" si="0">D6/C6*1000</f>
        <v>152936.4375</v>
      </c>
      <c r="G6" s="328">
        <f t="shared" ref="G6:G33" si="1">E6/C6*1000</f>
        <v>198283.6153846154</v>
      </c>
      <c r="H6" s="182"/>
    </row>
    <row r="7" spans="1:8" ht="15" customHeight="1" x14ac:dyDescent="0.25">
      <c r="A7" s="158"/>
      <c r="B7" s="326">
        <v>5.5</v>
      </c>
      <c r="C7" s="327">
        <v>127</v>
      </c>
      <c r="D7" s="431">
        <f>15950.62*1.05</f>
        <v>16748.151000000002</v>
      </c>
      <c r="E7" s="431">
        <f>20686.7*1.05</f>
        <v>21721.035000000003</v>
      </c>
      <c r="F7" s="287">
        <f t="shared" si="0"/>
        <v>131875.20472440944</v>
      </c>
      <c r="G7" s="328">
        <f t="shared" si="1"/>
        <v>171031.77165354334</v>
      </c>
      <c r="H7" s="182"/>
    </row>
    <row r="8" spans="1:8" ht="15" customHeight="1" x14ac:dyDescent="0.25">
      <c r="A8" s="158"/>
      <c r="B8" s="326">
        <v>6.7</v>
      </c>
      <c r="C8" s="327">
        <v>190</v>
      </c>
      <c r="D8" s="431">
        <f>19135.02*1.05</f>
        <v>20091.771000000001</v>
      </c>
      <c r="E8" s="431">
        <f>24821.93*1.05</f>
        <v>26063.0265</v>
      </c>
      <c r="F8" s="287">
        <f t="shared" si="0"/>
        <v>105746.16315789474</v>
      </c>
      <c r="G8" s="328">
        <f t="shared" si="1"/>
        <v>137173.82368421054</v>
      </c>
      <c r="H8" s="182"/>
    </row>
    <row r="9" spans="1:8" ht="15" customHeight="1" x14ac:dyDescent="0.25">
      <c r="A9" s="158"/>
      <c r="B9" s="326">
        <v>8</v>
      </c>
      <c r="C9" s="327">
        <v>272.5</v>
      </c>
      <c r="D9" s="431">
        <f>21822.84*1.05</f>
        <v>22913.982</v>
      </c>
      <c r="E9" s="431">
        <f>28296.27*1.05</f>
        <v>29711.083500000001</v>
      </c>
      <c r="F9" s="287">
        <f t="shared" si="0"/>
        <v>84088.007339449541</v>
      </c>
      <c r="G9" s="328">
        <f t="shared" si="1"/>
        <v>109031.49908256881</v>
      </c>
      <c r="H9" s="182"/>
    </row>
    <row r="10" spans="1:8" ht="15" customHeight="1" x14ac:dyDescent="0.25">
      <c r="A10" s="158"/>
      <c r="B10" s="326">
        <v>8.8000000000000007</v>
      </c>
      <c r="C10" s="327">
        <v>327.5</v>
      </c>
      <c r="D10" s="431">
        <f>27180.54*1.05</f>
        <v>28539.567000000003</v>
      </c>
      <c r="E10" s="431">
        <f>35238.85*1.05</f>
        <v>37000.792500000003</v>
      </c>
      <c r="F10" s="287">
        <f t="shared" si="0"/>
        <v>87143.716030534357</v>
      </c>
      <c r="G10" s="328">
        <f t="shared" si="1"/>
        <v>112979.51908396948</v>
      </c>
      <c r="H10" s="182"/>
    </row>
    <row r="11" spans="1:8" ht="15" customHeight="1" x14ac:dyDescent="0.25">
      <c r="A11" s="158"/>
      <c r="B11" s="326">
        <v>9.6999999999999993</v>
      </c>
      <c r="C11" s="327">
        <v>388</v>
      </c>
      <c r="D11" s="431">
        <f>29682.29*1.05</f>
        <v>31166.404500000001</v>
      </c>
      <c r="E11" s="431">
        <f>38514.45*1.05</f>
        <v>40440.172500000001</v>
      </c>
      <c r="F11" s="287">
        <f t="shared" si="0"/>
        <v>80325.78479381444</v>
      </c>
      <c r="G11" s="328">
        <f t="shared" si="1"/>
        <v>104227.2487113402</v>
      </c>
      <c r="H11" s="182"/>
    </row>
    <row r="12" spans="1:8" ht="15" customHeight="1" x14ac:dyDescent="0.25">
      <c r="A12" s="158"/>
      <c r="B12" s="326">
        <v>11</v>
      </c>
      <c r="C12" s="327">
        <v>491.5</v>
      </c>
      <c r="D12" s="431">
        <f>33881.07*1.05</f>
        <v>35575.123500000002</v>
      </c>
      <c r="E12" s="431">
        <f>43956.94*1.05</f>
        <v>46154.787000000004</v>
      </c>
      <c r="F12" s="287">
        <f t="shared" si="0"/>
        <v>72380.71922685657</v>
      </c>
      <c r="G12" s="328">
        <f t="shared" si="1"/>
        <v>93905.975584944055</v>
      </c>
      <c r="H12" s="182"/>
    </row>
    <row r="13" spans="1:8" ht="15" customHeight="1" x14ac:dyDescent="0.25">
      <c r="A13" s="158"/>
      <c r="B13" s="326">
        <v>12</v>
      </c>
      <c r="C13" s="327">
        <v>568</v>
      </c>
      <c r="D13" s="431">
        <f>38487.94*1.05</f>
        <v>40412.337000000007</v>
      </c>
      <c r="E13" s="431">
        <f>49940.08*1.05</f>
        <v>52437.084000000003</v>
      </c>
      <c r="F13" s="287">
        <f t="shared" si="0"/>
        <v>71148.480633802828</v>
      </c>
      <c r="G13" s="328">
        <f t="shared" si="1"/>
        <v>92318.809859154935</v>
      </c>
      <c r="H13" s="182"/>
    </row>
    <row r="14" spans="1:8" ht="15" customHeight="1" x14ac:dyDescent="0.25">
      <c r="A14" s="158"/>
      <c r="B14" s="326">
        <v>12.5</v>
      </c>
      <c r="C14" s="327">
        <v>650.5</v>
      </c>
      <c r="D14" s="431">
        <f>40535.79*1.05</f>
        <v>42562.5795</v>
      </c>
      <c r="E14" s="431">
        <f>52587.11*1.05</f>
        <v>55216.465500000006</v>
      </c>
      <c r="F14" s="287">
        <f t="shared" si="0"/>
        <v>65430.560338201387</v>
      </c>
      <c r="G14" s="328">
        <f t="shared" si="1"/>
        <v>84883.113758647203</v>
      </c>
      <c r="H14" s="182"/>
    </row>
    <row r="15" spans="1:8" ht="15" customHeight="1" x14ac:dyDescent="0.25">
      <c r="A15" s="158"/>
      <c r="B15" s="326">
        <v>14</v>
      </c>
      <c r="C15" s="327">
        <v>792</v>
      </c>
      <c r="D15" s="431">
        <f>45718.44*1.05</f>
        <v>48004.362000000001</v>
      </c>
      <c r="E15" s="431">
        <f>59291.96*1.05</f>
        <v>62256.558000000005</v>
      </c>
      <c r="F15" s="287">
        <f t="shared" si="0"/>
        <v>60611.568181818184</v>
      </c>
      <c r="G15" s="328">
        <f t="shared" si="1"/>
        <v>78606.765151515167</v>
      </c>
      <c r="H15" s="182"/>
    </row>
    <row r="16" spans="1:8" ht="15" customHeight="1" x14ac:dyDescent="0.25">
      <c r="A16" s="158"/>
      <c r="B16" s="326">
        <v>15</v>
      </c>
      <c r="C16" s="327">
        <v>921.5</v>
      </c>
      <c r="D16" s="431">
        <f>50707.53*1.05</f>
        <v>53242.906500000005</v>
      </c>
      <c r="E16" s="431">
        <f>65733.28*1.05</f>
        <v>69019.944000000003</v>
      </c>
      <c r="F16" s="287">
        <f t="shared" si="0"/>
        <v>57778.52034725991</v>
      </c>
      <c r="G16" s="328">
        <f t="shared" si="1"/>
        <v>74899.559413998912</v>
      </c>
      <c r="H16" s="182"/>
    </row>
    <row r="17" spans="1:8" ht="15" customHeight="1" x14ac:dyDescent="0.25">
      <c r="A17" s="158"/>
      <c r="B17" s="326">
        <v>16.5</v>
      </c>
      <c r="C17" s="327">
        <v>1115</v>
      </c>
      <c r="D17" s="431">
        <f>60029.52*1.05</f>
        <v>63030.995999999999</v>
      </c>
      <c r="E17" s="431">
        <f>77813.91*1.05</f>
        <v>81704.605500000005</v>
      </c>
      <c r="F17" s="287">
        <f t="shared" si="0"/>
        <v>56530.041255605385</v>
      </c>
      <c r="G17" s="328">
        <f t="shared" si="1"/>
        <v>73277.673094170415</v>
      </c>
      <c r="H17" s="182"/>
    </row>
    <row r="18" spans="1:8" ht="15" customHeight="1" x14ac:dyDescent="0.25">
      <c r="A18" s="158"/>
      <c r="B18" s="326">
        <v>18</v>
      </c>
      <c r="C18" s="327">
        <v>1320</v>
      </c>
      <c r="D18" s="431">
        <f>70261.66*1.05</f>
        <v>73774.743000000002</v>
      </c>
      <c r="E18" s="431">
        <f>91064.05*1.05</f>
        <v>95617.252500000002</v>
      </c>
      <c r="F18" s="287">
        <f t="shared" si="0"/>
        <v>55889.956818181825</v>
      </c>
      <c r="G18" s="328">
        <f t="shared" si="1"/>
        <v>72437.3125</v>
      </c>
      <c r="H18" s="182"/>
    </row>
    <row r="19" spans="1:8" ht="15" customHeight="1" x14ac:dyDescent="0.25">
      <c r="A19" s="158"/>
      <c r="B19" s="326">
        <v>19</v>
      </c>
      <c r="C19" s="327">
        <v>1520</v>
      </c>
      <c r="D19" s="431">
        <f>80536.34*1.05</f>
        <v>84563.157000000007</v>
      </c>
      <c r="E19" s="431">
        <f>104399.74*1.05</f>
        <v>109619.72700000001</v>
      </c>
      <c r="F19" s="287">
        <f t="shared" si="0"/>
        <v>55633.655921052639</v>
      </c>
      <c r="G19" s="328">
        <f t="shared" si="1"/>
        <v>72118.241447368433</v>
      </c>
      <c r="H19" s="182"/>
    </row>
    <row r="20" spans="1:8" ht="15" customHeight="1" x14ac:dyDescent="0.25">
      <c r="A20" s="158"/>
      <c r="B20" s="326">
        <v>20.5</v>
      </c>
      <c r="C20" s="327">
        <v>1765</v>
      </c>
      <c r="D20" s="431">
        <f>93099.05*1.05</f>
        <v>97754.002500000002</v>
      </c>
      <c r="E20" s="431">
        <f>120649.9*1.05</f>
        <v>126682.395</v>
      </c>
      <c r="F20" s="287">
        <f t="shared" si="0"/>
        <v>55384.703966005669</v>
      </c>
      <c r="G20" s="328">
        <f t="shared" si="1"/>
        <v>71774.728045325784</v>
      </c>
      <c r="H20" s="182"/>
    </row>
    <row r="21" spans="1:8" ht="15" customHeight="1" x14ac:dyDescent="0.25">
      <c r="A21" s="158"/>
      <c r="B21" s="326">
        <v>22</v>
      </c>
      <c r="C21" s="327">
        <v>1990</v>
      </c>
      <c r="D21" s="431">
        <f>98239.07*1.05</f>
        <v>103151.02350000001</v>
      </c>
      <c r="E21" s="431">
        <f>127366.9*1.05</f>
        <v>133735.245</v>
      </c>
      <c r="F21" s="287">
        <f t="shared" si="0"/>
        <v>51834.6851758794</v>
      </c>
      <c r="G21" s="328">
        <f t="shared" si="1"/>
        <v>67203.640703517594</v>
      </c>
      <c r="H21" s="182"/>
    </row>
    <row r="22" spans="1:8" ht="15" customHeight="1" x14ac:dyDescent="0.25">
      <c r="A22" s="158"/>
      <c r="B22" s="326">
        <v>23</v>
      </c>
      <c r="C22" s="327">
        <v>2265</v>
      </c>
      <c r="D22" s="431">
        <f>111189.05*1.05</f>
        <v>116748.5025</v>
      </c>
      <c r="E22" s="431">
        <f>144195.51*1.05</f>
        <v>151405.28550000003</v>
      </c>
      <c r="F22" s="287">
        <f t="shared" si="0"/>
        <v>51544.592715231789</v>
      </c>
      <c r="G22" s="328">
        <f t="shared" si="1"/>
        <v>66845.600662251672</v>
      </c>
      <c r="H22" s="182"/>
    </row>
    <row r="23" spans="1:8" ht="15" customHeight="1" x14ac:dyDescent="0.25">
      <c r="A23" s="158"/>
      <c r="B23" s="326">
        <v>25</v>
      </c>
      <c r="C23" s="327">
        <v>2560</v>
      </c>
      <c r="D23" s="431">
        <f>123055.41*1.05</f>
        <v>129208.1805</v>
      </c>
      <c r="E23" s="431">
        <f>159485.09*1.05</f>
        <v>167459.34450000001</v>
      </c>
      <c r="F23" s="287">
        <f t="shared" si="0"/>
        <v>50471.945507812503</v>
      </c>
      <c r="G23" s="328">
        <f t="shared" si="1"/>
        <v>65413.806445312504</v>
      </c>
      <c r="H23" s="182"/>
    </row>
    <row r="24" spans="1:8" ht="15" customHeight="1" x14ac:dyDescent="0.25">
      <c r="A24" s="158"/>
      <c r="B24" s="326">
        <v>27</v>
      </c>
      <c r="C24" s="327">
        <v>3090</v>
      </c>
      <c r="D24" s="431">
        <f>152779.26*1.05</f>
        <v>160418.22300000003</v>
      </c>
      <c r="E24" s="431">
        <f>197975.86*1.05</f>
        <v>207874.65299999999</v>
      </c>
      <c r="F24" s="287">
        <f t="shared" si="0"/>
        <v>51915.282524271854</v>
      </c>
      <c r="G24" s="328">
        <f t="shared" si="1"/>
        <v>67273.350485436895</v>
      </c>
      <c r="H24" s="182"/>
    </row>
    <row r="25" spans="1:8" ht="15" customHeight="1" x14ac:dyDescent="0.25">
      <c r="A25" s="158"/>
      <c r="B25" s="326">
        <v>29.5</v>
      </c>
      <c r="C25" s="327">
        <v>3705</v>
      </c>
      <c r="D25" s="431">
        <f>182999.39*1.05</f>
        <v>192149.35950000002</v>
      </c>
      <c r="E25" s="431">
        <f>237324.41*1.05</f>
        <v>249190.63050000003</v>
      </c>
      <c r="F25" s="287">
        <f t="shared" si="0"/>
        <v>51862.175303643729</v>
      </c>
      <c r="G25" s="328">
        <f t="shared" si="1"/>
        <v>67257.929959514178</v>
      </c>
      <c r="H25" s="182"/>
    </row>
    <row r="26" spans="1:8" ht="15" customHeight="1" x14ac:dyDescent="0.25">
      <c r="A26" s="158"/>
      <c r="B26" s="326">
        <v>31</v>
      </c>
      <c r="C26" s="327">
        <v>4125</v>
      </c>
      <c r="D26" s="431">
        <f>202595.21*1.05</f>
        <v>212724.9705</v>
      </c>
      <c r="E26" s="431">
        <f>262684.1*1.05</f>
        <v>275818.30499999999</v>
      </c>
      <c r="F26" s="287">
        <f t="shared" si="0"/>
        <v>51569.689818181811</v>
      </c>
      <c r="G26" s="328">
        <f t="shared" si="1"/>
        <v>66865.04363636364</v>
      </c>
      <c r="H26" s="182"/>
    </row>
    <row r="27" spans="1:8" ht="15" customHeight="1" x14ac:dyDescent="0.25">
      <c r="A27" s="158"/>
      <c r="B27" s="326">
        <v>33</v>
      </c>
      <c r="C27" s="327">
        <v>4565</v>
      </c>
      <c r="D27" s="431">
        <f>223827.94*1.05</f>
        <v>235019.337</v>
      </c>
      <c r="E27" s="431">
        <f>290059.45*1.05</f>
        <v>304562.42250000004</v>
      </c>
      <c r="F27" s="287">
        <f t="shared" si="0"/>
        <v>51482.877765607889</v>
      </c>
      <c r="G27" s="328">
        <f t="shared" si="1"/>
        <v>66716.850492880621</v>
      </c>
      <c r="H27" s="182"/>
    </row>
    <row r="28" spans="1:8" ht="15" customHeight="1" x14ac:dyDescent="0.25">
      <c r="A28" s="158"/>
      <c r="B28" s="326">
        <v>36</v>
      </c>
      <c r="C28" s="327">
        <v>5410</v>
      </c>
      <c r="D28" s="431">
        <f>262639.06*1.05</f>
        <v>275771.01300000004</v>
      </c>
      <c r="E28" s="431">
        <f>340397.34*1.05</f>
        <v>357417.20700000005</v>
      </c>
      <c r="F28" s="287">
        <f t="shared" si="0"/>
        <v>50974.309242144191</v>
      </c>
      <c r="G28" s="328">
        <f t="shared" si="1"/>
        <v>66066.027171903901</v>
      </c>
      <c r="H28" s="182"/>
    </row>
    <row r="29" spans="1:8" ht="15" customHeight="1" x14ac:dyDescent="0.25">
      <c r="A29" s="158"/>
      <c r="B29" s="326">
        <v>38.5</v>
      </c>
      <c r="C29" s="327">
        <v>6190</v>
      </c>
      <c r="D29" s="431">
        <f>291768.52*1.05</f>
        <v>306356.94600000005</v>
      </c>
      <c r="E29" s="431">
        <f>378266.93*1.05</f>
        <v>397180.27650000004</v>
      </c>
      <c r="F29" s="287">
        <f t="shared" si="0"/>
        <v>49492.236833602597</v>
      </c>
      <c r="G29" s="328">
        <f t="shared" si="1"/>
        <v>64164.826575121166</v>
      </c>
      <c r="H29" s="182"/>
    </row>
    <row r="30" spans="1:8" ht="15" customHeight="1" x14ac:dyDescent="0.25">
      <c r="A30" s="158"/>
      <c r="B30" s="326">
        <v>41</v>
      </c>
      <c r="C30" s="327">
        <v>7050</v>
      </c>
      <c r="D30" s="431">
        <f>328482.77*1.05</f>
        <v>344906.90850000002</v>
      </c>
      <c r="E30" s="431">
        <f>425993.46*1.05</f>
        <v>447293.13300000003</v>
      </c>
      <c r="F30" s="287">
        <f t="shared" si="0"/>
        <v>48922.965744680849</v>
      </c>
      <c r="G30" s="328">
        <f t="shared" si="1"/>
        <v>63445.834468085108</v>
      </c>
      <c r="H30" s="182"/>
    </row>
    <row r="31" spans="1:8" ht="15" customHeight="1" x14ac:dyDescent="0.25">
      <c r="A31" s="158"/>
      <c r="B31" s="326">
        <v>46.5</v>
      </c>
      <c r="C31" s="327">
        <v>9065</v>
      </c>
      <c r="D31" s="431">
        <f>419485.67*1.05</f>
        <v>440459.9535</v>
      </c>
      <c r="E31" s="431">
        <f>543685.62*1.05</f>
        <v>570869.90100000007</v>
      </c>
      <c r="F31" s="287">
        <f t="shared" si="0"/>
        <v>48589.073745173744</v>
      </c>
      <c r="G31" s="328">
        <f t="shared" si="1"/>
        <v>62975.168339768345</v>
      </c>
      <c r="H31" s="182"/>
    </row>
    <row r="32" spans="1:8" ht="15" customHeight="1" x14ac:dyDescent="0.25">
      <c r="A32" s="158"/>
      <c r="B32" s="326">
        <v>49.5</v>
      </c>
      <c r="C32" s="327">
        <v>10250</v>
      </c>
      <c r="D32" s="431">
        <f>469467.46*1.05</f>
        <v>492940.83300000004</v>
      </c>
      <c r="E32" s="431">
        <f>608522.62*1.05</f>
        <v>638948.75100000005</v>
      </c>
      <c r="F32" s="287">
        <f t="shared" si="0"/>
        <v>48091.788585365852</v>
      </c>
      <c r="G32" s="328">
        <f t="shared" si="1"/>
        <v>62336.463512195121</v>
      </c>
      <c r="H32" s="182"/>
    </row>
    <row r="33" spans="1:8" ht="15" customHeight="1" x14ac:dyDescent="0.25">
      <c r="A33" s="158"/>
      <c r="B33" s="329">
        <v>55</v>
      </c>
      <c r="C33" s="330">
        <v>12650</v>
      </c>
      <c r="D33" s="434">
        <f>535961.26*1.05</f>
        <v>562759.32300000009</v>
      </c>
      <c r="E33" s="434">
        <f>694838.83*1.05</f>
        <v>729580.77150000003</v>
      </c>
      <c r="F33" s="331">
        <f t="shared" si="0"/>
        <v>44486.903003952575</v>
      </c>
      <c r="G33" s="332">
        <f t="shared" si="1"/>
        <v>57674.369288537557</v>
      </c>
      <c r="H33" s="182"/>
    </row>
  </sheetData>
  <mergeCells count="7">
    <mergeCell ref="B2:E2"/>
    <mergeCell ref="F2:G3"/>
    <mergeCell ref="B3:E3"/>
    <mergeCell ref="B4:B5"/>
    <mergeCell ref="C4:C5"/>
    <mergeCell ref="D4:E4"/>
    <mergeCell ref="F4:G4"/>
  </mergeCells>
  <phoneticPr fontId="0" type="noConversion"/>
  <hyperlinks>
    <hyperlink ref="H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H65"/>
  <sheetViews>
    <sheetView view="pageBreakPreview" zoomScale="85" zoomScaleNormal="75" workbookViewId="0"/>
  </sheetViews>
  <sheetFormatPr defaultColWidth="8.88671875" defaultRowHeight="13.2" x14ac:dyDescent="0.25"/>
  <cols>
    <col min="1" max="1" width="4" style="24" customWidth="1"/>
    <col min="2" max="2" width="7.88671875" style="10" customWidth="1"/>
    <col min="3" max="3" width="11.6640625" style="10" customWidth="1"/>
    <col min="4" max="4" width="11.88671875" style="10" customWidth="1"/>
    <col min="5" max="5" width="12.33203125" style="10" customWidth="1"/>
    <col min="6" max="6" width="11.33203125" style="10" customWidth="1"/>
    <col min="7" max="7" width="12.88671875" style="10" customWidth="1"/>
    <col min="8" max="8" width="10" style="10" customWidth="1"/>
    <col min="9" max="16384" width="8.88671875" style="10"/>
  </cols>
  <sheetData>
    <row r="1" spans="1:8" s="70" customFormat="1" ht="16.2" customHeight="1" x14ac:dyDescent="0.25">
      <c r="A1" s="24"/>
      <c r="G1" s="29">
        <v>41000</v>
      </c>
      <c r="H1" s="54" t="s">
        <v>466</v>
      </c>
    </row>
    <row r="2" spans="1:8" s="70" customFormat="1" ht="23.4" customHeight="1" x14ac:dyDescent="0.25">
      <c r="A2" s="24"/>
      <c r="B2" s="684" t="s">
        <v>461</v>
      </c>
      <c r="C2" s="685"/>
      <c r="D2" s="685"/>
      <c r="E2" s="686"/>
      <c r="F2" s="659" t="s">
        <v>362</v>
      </c>
      <c r="G2" s="568"/>
      <c r="H2" s="24"/>
    </row>
    <row r="3" spans="1:8" s="70" customFormat="1" ht="18" customHeight="1" x14ac:dyDescent="0.25">
      <c r="A3" s="24"/>
      <c r="B3" s="690"/>
      <c r="C3" s="691"/>
      <c r="D3" s="691"/>
      <c r="E3" s="692"/>
      <c r="F3" s="659"/>
      <c r="G3" s="568"/>
      <c r="H3" s="24"/>
    </row>
    <row r="4" spans="1:8" s="70" customFormat="1" ht="27.6" customHeight="1" x14ac:dyDescent="0.25">
      <c r="A4" s="24"/>
      <c r="B4" s="565" t="s">
        <v>104</v>
      </c>
      <c r="C4" s="565" t="s">
        <v>640</v>
      </c>
      <c r="D4" s="565" t="s">
        <v>501</v>
      </c>
      <c r="E4" s="565"/>
      <c r="F4" s="565" t="s">
        <v>500</v>
      </c>
      <c r="G4" s="565"/>
      <c r="H4" s="24"/>
    </row>
    <row r="5" spans="1:8" s="70" customFormat="1" ht="13.2" customHeight="1" x14ac:dyDescent="0.25">
      <c r="A5" s="180"/>
      <c r="B5" s="565"/>
      <c r="C5" s="565"/>
      <c r="D5" s="420" t="s">
        <v>120</v>
      </c>
      <c r="E5" s="420" t="s">
        <v>264</v>
      </c>
      <c r="F5" s="420" t="s">
        <v>120</v>
      </c>
      <c r="G5" s="420" t="s">
        <v>264</v>
      </c>
      <c r="H5" s="24"/>
    </row>
    <row r="6" spans="1:8" s="70" customFormat="1" ht="13.2" customHeight="1" x14ac:dyDescent="0.25">
      <c r="A6" s="8"/>
      <c r="B6" s="286">
        <v>36</v>
      </c>
      <c r="C6" s="333">
        <v>6144.3</v>
      </c>
      <c r="D6" s="334">
        <f>467218.72*1.05</f>
        <v>490579.65600000002</v>
      </c>
      <c r="E6" s="334">
        <v>0</v>
      </c>
      <c r="F6" s="287">
        <f>D6/C6*1000</f>
        <v>79843.050632293336</v>
      </c>
      <c r="G6" s="287">
        <f>E6/C6*1000</f>
        <v>0</v>
      </c>
      <c r="H6" s="24"/>
    </row>
    <row r="7" spans="1:8" s="70" customFormat="1" ht="13.2" customHeight="1" x14ac:dyDescent="0.25">
      <c r="A7" s="161"/>
      <c r="B7" s="286">
        <v>45</v>
      </c>
      <c r="C7" s="335">
        <v>9064.7000000000007</v>
      </c>
      <c r="D7" s="334">
        <f>653387.26*1.05</f>
        <v>686056.62300000002</v>
      </c>
      <c r="E7" s="334">
        <v>889614</v>
      </c>
      <c r="F7" s="287">
        <f>D7/C7*1000</f>
        <v>75684.42673226913</v>
      </c>
      <c r="G7" s="287">
        <f>E7/C7*1000</f>
        <v>98140.479000959764</v>
      </c>
      <c r="H7" s="182"/>
    </row>
    <row r="8" spans="1:8" s="70" customFormat="1" x14ac:dyDescent="0.25">
      <c r="A8" s="161"/>
      <c r="B8" s="286">
        <v>50</v>
      </c>
      <c r="C8" s="335">
        <v>10334</v>
      </c>
      <c r="D8" s="334">
        <f>734421.45*1.05</f>
        <v>771142.52249999996</v>
      </c>
      <c r="E8" s="334">
        <f>952329.43*1.05</f>
        <v>999945.90150000015</v>
      </c>
      <c r="F8" s="287">
        <f>D8/C8*1000</f>
        <v>74621.881410876711</v>
      </c>
      <c r="G8" s="287">
        <f>E8/C8*1000</f>
        <v>96762.715453841709</v>
      </c>
      <c r="H8" s="197"/>
    </row>
    <row r="9" spans="1:8" s="70" customFormat="1" x14ac:dyDescent="0.25">
      <c r="A9" s="161"/>
      <c r="B9" s="286">
        <v>55</v>
      </c>
      <c r="C9" s="335">
        <v>12732.5</v>
      </c>
      <c r="D9" s="334">
        <f>902791.34*1.05</f>
        <v>947930.90700000001</v>
      </c>
      <c r="E9" s="334">
        <f>1170655.84*1.05</f>
        <v>1229188.6320000002</v>
      </c>
      <c r="F9" s="287">
        <f>D9/C9*1000</f>
        <v>74449.707991360701</v>
      </c>
      <c r="G9" s="287">
        <f>E9/C9*1000</f>
        <v>96539.456666012178</v>
      </c>
      <c r="H9" s="197"/>
    </row>
    <row r="10" spans="1:8" s="70" customFormat="1" ht="13.2" customHeight="1" x14ac:dyDescent="0.25">
      <c r="A10" s="161"/>
      <c r="B10" s="286">
        <v>60</v>
      </c>
      <c r="C10" s="335">
        <v>15222</v>
      </c>
      <c r="D10" s="334">
        <f>1074307.5*1.05</f>
        <v>1128022.875</v>
      </c>
      <c r="E10" s="334">
        <v>0</v>
      </c>
      <c r="F10" s="287">
        <f>D10/C10*1000</f>
        <v>74104.774339771378</v>
      </c>
      <c r="G10" s="287">
        <f>E10/C10*1000</f>
        <v>0</v>
      </c>
      <c r="H10" s="182"/>
    </row>
    <row r="11" spans="1:8" s="70" customFormat="1" x14ac:dyDescent="0.25">
      <c r="A11" s="161"/>
      <c r="H11" s="24"/>
    </row>
    <row r="12" spans="1:8" s="24" customFormat="1" x14ac:dyDescent="0.25">
      <c r="A12" s="161"/>
      <c r="B12" s="87"/>
      <c r="C12" s="87"/>
      <c r="D12" s="87"/>
      <c r="E12" s="87"/>
      <c r="F12" s="87"/>
      <c r="G12" s="29">
        <v>41000</v>
      </c>
    </row>
    <row r="13" spans="1:8" s="24" customFormat="1" ht="15" customHeight="1" x14ac:dyDescent="0.25">
      <c r="A13" s="161"/>
      <c r="B13" s="684" t="s">
        <v>641</v>
      </c>
      <c r="C13" s="685"/>
      <c r="D13" s="685"/>
      <c r="E13" s="686"/>
      <c r="F13" s="659" t="s">
        <v>363</v>
      </c>
      <c r="G13" s="568"/>
    </row>
    <row r="14" spans="1:8" s="24" customFormat="1" ht="15" customHeight="1" x14ac:dyDescent="0.25">
      <c r="A14" s="161"/>
      <c r="B14" s="690"/>
      <c r="C14" s="691"/>
      <c r="D14" s="691"/>
      <c r="E14" s="692"/>
      <c r="F14" s="659"/>
      <c r="G14" s="568"/>
    </row>
    <row r="15" spans="1:8" s="24" customFormat="1" ht="27.6" customHeight="1" x14ac:dyDescent="0.25">
      <c r="A15" s="161"/>
      <c r="B15" s="565" t="s">
        <v>104</v>
      </c>
      <c r="C15" s="565" t="s">
        <v>640</v>
      </c>
      <c r="D15" s="565" t="s">
        <v>501</v>
      </c>
      <c r="E15" s="565"/>
      <c r="F15" s="565" t="s">
        <v>500</v>
      </c>
      <c r="G15" s="565"/>
    </row>
    <row r="16" spans="1:8" s="24" customFormat="1" x14ac:dyDescent="0.25">
      <c r="A16" s="161"/>
      <c r="B16" s="565"/>
      <c r="C16" s="565"/>
      <c r="D16" s="420" t="s">
        <v>120</v>
      </c>
      <c r="E16" s="420" t="s">
        <v>264</v>
      </c>
      <c r="F16" s="420" t="s">
        <v>120</v>
      </c>
      <c r="G16" s="420" t="s">
        <v>264</v>
      </c>
    </row>
    <row r="17" spans="1:8" s="24" customFormat="1" x14ac:dyDescent="0.25">
      <c r="A17" s="161"/>
      <c r="B17" s="286">
        <v>20</v>
      </c>
      <c r="C17" s="335">
        <v>1560</v>
      </c>
      <c r="D17" s="334">
        <f>103444.51*1.05</f>
        <v>108616.7355</v>
      </c>
      <c r="E17" s="334">
        <f>134040.89*1.05</f>
        <v>140742.93450000003</v>
      </c>
      <c r="F17" s="287">
        <f t="shared" ref="F17:F27" si="0">D17/C17*1000</f>
        <v>69626.112499999988</v>
      </c>
      <c r="G17" s="287">
        <f t="shared" ref="G17:G27" si="1">E17/C17*1000</f>
        <v>90219.829807692338</v>
      </c>
      <c r="H17" s="182"/>
    </row>
    <row r="18" spans="1:8" s="24" customFormat="1" x14ac:dyDescent="0.25">
      <c r="A18" s="161"/>
      <c r="B18" s="286">
        <v>22</v>
      </c>
      <c r="C18" s="335">
        <v>1842</v>
      </c>
      <c r="D18" s="334">
        <f>116264.34*1.05</f>
        <v>122077.557</v>
      </c>
      <c r="E18" s="334">
        <f>150747.38*1.05</f>
        <v>158284.74900000001</v>
      </c>
      <c r="F18" s="287">
        <f t="shared" si="0"/>
        <v>66274.46091205212</v>
      </c>
      <c r="G18" s="287">
        <f t="shared" si="1"/>
        <v>85930.916938110749</v>
      </c>
      <c r="H18" s="182"/>
    </row>
    <row r="19" spans="1:8" s="24" customFormat="1" x14ac:dyDescent="0.25">
      <c r="A19" s="161"/>
      <c r="B19" s="286">
        <v>25</v>
      </c>
      <c r="C19" s="335">
        <v>2402.5</v>
      </c>
      <c r="D19" s="334">
        <f>147975.06*1.05</f>
        <v>155373.81299999999</v>
      </c>
      <c r="E19" s="334">
        <f>191798.03*1.05</f>
        <v>201387.93150000001</v>
      </c>
      <c r="F19" s="287">
        <f t="shared" si="0"/>
        <v>64671.722372528617</v>
      </c>
      <c r="G19" s="287">
        <f t="shared" si="1"/>
        <v>83824.321123829344</v>
      </c>
      <c r="H19" s="182"/>
    </row>
    <row r="20" spans="1:8" s="24" customFormat="1" x14ac:dyDescent="0.25">
      <c r="A20" s="161"/>
      <c r="B20" s="286">
        <v>27</v>
      </c>
      <c r="C20" s="335">
        <v>2808.5</v>
      </c>
      <c r="D20" s="334">
        <f>171484.47*1.05</f>
        <v>180058.69350000002</v>
      </c>
      <c r="E20" s="334">
        <f>222321*1.05</f>
        <v>233437.05000000002</v>
      </c>
      <c r="F20" s="287">
        <f t="shared" si="0"/>
        <v>64112.050382766611</v>
      </c>
      <c r="G20" s="287">
        <f t="shared" si="1"/>
        <v>83118.052341107352</v>
      </c>
      <c r="H20" s="182"/>
    </row>
    <row r="21" spans="1:8" s="24" customFormat="1" x14ac:dyDescent="0.25">
      <c r="A21" s="161"/>
      <c r="B21" s="286">
        <v>30</v>
      </c>
      <c r="C21" s="335">
        <v>3421.5</v>
      </c>
      <c r="D21" s="334">
        <f>207520.42*1.05</f>
        <v>217896.44100000002</v>
      </c>
      <c r="E21" s="334">
        <f>268941.68*1.05</f>
        <v>282388.76400000002</v>
      </c>
      <c r="F21" s="287">
        <f t="shared" si="0"/>
        <v>63684.477860587474</v>
      </c>
      <c r="G21" s="287">
        <f t="shared" si="1"/>
        <v>82533.615081104785</v>
      </c>
      <c r="H21" s="182"/>
    </row>
    <row r="22" spans="1:8" s="24" customFormat="1" x14ac:dyDescent="0.25">
      <c r="A22" s="161"/>
      <c r="B22" s="286">
        <v>32</v>
      </c>
      <c r="C22" s="335">
        <v>4060</v>
      </c>
      <c r="D22" s="334">
        <f>244345.09*1.05</f>
        <v>256562.34450000001</v>
      </c>
      <c r="E22" s="334">
        <f>316824.19*1.05</f>
        <v>332665.3995</v>
      </c>
      <c r="F22" s="287">
        <f t="shared" si="0"/>
        <v>63192.695689655171</v>
      </c>
      <c r="G22" s="287">
        <f t="shared" si="1"/>
        <v>81937.290517241374</v>
      </c>
      <c r="H22" s="182"/>
    </row>
    <row r="23" spans="1:8" s="24" customFormat="1" x14ac:dyDescent="0.25">
      <c r="A23" s="161"/>
      <c r="B23" s="286">
        <v>34</v>
      </c>
      <c r="C23" s="335">
        <v>4552.5</v>
      </c>
      <c r="D23" s="334">
        <f>272642.81*1.05</f>
        <v>286274.95050000004</v>
      </c>
      <c r="E23" s="334">
        <f>353492.97*1.05</f>
        <v>371167.61849999998</v>
      </c>
      <c r="F23" s="287">
        <f t="shared" si="0"/>
        <v>62883.020428336087</v>
      </c>
      <c r="G23" s="287">
        <f t="shared" si="1"/>
        <v>81530.503789126858</v>
      </c>
      <c r="H23" s="182"/>
    </row>
    <row r="24" spans="1:8" s="24" customFormat="1" x14ac:dyDescent="0.25">
      <c r="A24" s="161"/>
      <c r="B24" s="286">
        <v>36</v>
      </c>
      <c r="C24" s="335">
        <v>5048</v>
      </c>
      <c r="D24" s="334">
        <f>300833.88*1.05</f>
        <v>315875.57400000002</v>
      </c>
      <c r="E24" s="334">
        <f>389861.99*1.05</f>
        <v>409355.0895</v>
      </c>
      <c r="F24" s="287">
        <f t="shared" si="0"/>
        <v>62574.400554675121</v>
      </c>
      <c r="G24" s="287">
        <f t="shared" si="1"/>
        <v>81092.529615689389</v>
      </c>
      <c r="H24" s="182"/>
    </row>
    <row r="25" spans="1:8" s="24" customFormat="1" x14ac:dyDescent="0.25">
      <c r="A25" s="161"/>
      <c r="B25" s="286">
        <v>38</v>
      </c>
      <c r="C25" s="335">
        <v>5592</v>
      </c>
      <c r="D25" s="334">
        <f>330453.61*1.05</f>
        <v>346976.2905</v>
      </c>
      <c r="E25" s="334">
        <f>428173.4*1.05</f>
        <v>449582.07000000007</v>
      </c>
      <c r="F25" s="287">
        <f t="shared" si="0"/>
        <v>62048.692864806864</v>
      </c>
      <c r="G25" s="287">
        <f t="shared" si="1"/>
        <v>80397.365879828343</v>
      </c>
      <c r="H25" s="182"/>
    </row>
    <row r="26" spans="1:8" s="24" customFormat="1" x14ac:dyDescent="0.25">
      <c r="A26" s="161"/>
      <c r="B26" s="286">
        <v>40</v>
      </c>
      <c r="C26" s="335">
        <v>6497.5</v>
      </c>
      <c r="D26" s="334">
        <f>381848.13*1.05</f>
        <v>400940.53650000005</v>
      </c>
      <c r="E26" s="334">
        <f>495104.31*1.05</f>
        <v>519859.52550000005</v>
      </c>
      <c r="F26" s="287">
        <f t="shared" si="0"/>
        <v>61706.892881877648</v>
      </c>
      <c r="G26" s="287">
        <f t="shared" si="1"/>
        <v>80009.161292804929</v>
      </c>
      <c r="H26" s="182"/>
    </row>
    <row r="27" spans="1:8" s="24" customFormat="1" x14ac:dyDescent="0.25">
      <c r="A27" s="161"/>
      <c r="B27" s="286">
        <v>50</v>
      </c>
      <c r="C27" s="335">
        <v>9624.5</v>
      </c>
      <c r="D27" s="334">
        <f>558623.34*1.05</f>
        <v>586554.50699999998</v>
      </c>
      <c r="E27" s="334">
        <f>724100.94*1.05</f>
        <v>760305.98699999996</v>
      </c>
      <c r="F27" s="287">
        <f t="shared" si="0"/>
        <v>60943.893916567089</v>
      </c>
      <c r="G27" s="287">
        <f t="shared" si="1"/>
        <v>78996.933554989868</v>
      </c>
      <c r="H27" s="182"/>
    </row>
    <row r="28" spans="1:8" s="24" customFormat="1" x14ac:dyDescent="0.25">
      <c r="A28" s="161"/>
      <c r="B28" s="88"/>
      <c r="C28" s="80"/>
      <c r="D28" s="80"/>
      <c r="E28" s="80"/>
      <c r="F28" s="80"/>
      <c r="G28" s="80"/>
    </row>
    <row r="29" spans="1:8" ht="13.95" customHeight="1" x14ac:dyDescent="0.25">
      <c r="A29" s="161"/>
      <c r="G29" s="29">
        <v>41000</v>
      </c>
      <c r="H29" s="24"/>
    </row>
    <row r="30" spans="1:8" x14ac:dyDescent="0.25">
      <c r="A30" s="161"/>
      <c r="B30" s="696" t="s">
        <v>638</v>
      </c>
      <c r="C30" s="697"/>
      <c r="D30" s="697"/>
      <c r="E30" s="698"/>
      <c r="F30" s="659" t="s">
        <v>152</v>
      </c>
      <c r="G30" s="568"/>
      <c r="H30" s="24"/>
    </row>
    <row r="31" spans="1:8" x14ac:dyDescent="0.25">
      <c r="A31" s="161"/>
      <c r="B31" s="678" t="s">
        <v>88</v>
      </c>
      <c r="C31" s="679"/>
      <c r="D31" s="679"/>
      <c r="E31" s="680"/>
      <c r="F31" s="659"/>
      <c r="G31" s="568"/>
      <c r="H31" s="24"/>
    </row>
    <row r="32" spans="1:8" x14ac:dyDescent="0.25">
      <c r="A32" s="161"/>
      <c r="B32" s="681" t="s">
        <v>89</v>
      </c>
      <c r="C32" s="682"/>
      <c r="D32" s="682"/>
      <c r="E32" s="683"/>
      <c r="F32" s="659"/>
      <c r="G32" s="568"/>
      <c r="H32" s="24"/>
    </row>
    <row r="33" spans="1:8" ht="30.6" customHeight="1" x14ac:dyDescent="0.25">
      <c r="A33" s="161"/>
      <c r="B33" s="565" t="s">
        <v>104</v>
      </c>
      <c r="C33" s="565" t="s">
        <v>640</v>
      </c>
      <c r="D33" s="565" t="s">
        <v>501</v>
      </c>
      <c r="E33" s="565"/>
      <c r="F33" s="565" t="s">
        <v>500</v>
      </c>
      <c r="G33" s="565"/>
      <c r="H33" s="24"/>
    </row>
    <row r="34" spans="1:8" x14ac:dyDescent="0.25">
      <c r="A34" s="161"/>
      <c r="B34" s="672"/>
      <c r="C34" s="672"/>
      <c r="D34" s="677" t="s">
        <v>120</v>
      </c>
      <c r="E34" s="677"/>
      <c r="F34" s="677" t="s">
        <v>120</v>
      </c>
      <c r="G34" s="677"/>
      <c r="H34" s="24"/>
    </row>
    <row r="35" spans="1:8" ht="15" customHeight="1" x14ac:dyDescent="0.25">
      <c r="A35" s="161"/>
      <c r="B35" s="693" t="s">
        <v>153</v>
      </c>
      <c r="C35" s="694"/>
      <c r="D35" s="694"/>
      <c r="E35" s="694"/>
      <c r="F35" s="694"/>
      <c r="G35" s="695"/>
      <c r="H35" s="24"/>
    </row>
    <row r="36" spans="1:8" x14ac:dyDescent="0.25">
      <c r="A36" s="161"/>
      <c r="B36" s="269">
        <v>25</v>
      </c>
      <c r="C36" s="296">
        <v>2660</v>
      </c>
      <c r="D36" s="673">
        <f>143776.98*1.05</f>
        <v>150965.82900000003</v>
      </c>
      <c r="E36" s="673"/>
      <c r="F36" s="673">
        <f>D36/C36*1000</f>
        <v>56754.071052631589</v>
      </c>
      <c r="G36" s="673"/>
      <c r="H36" s="24"/>
    </row>
    <row r="37" spans="1:8" x14ac:dyDescent="0.25">
      <c r="A37" s="161"/>
      <c r="B37" s="269">
        <v>28</v>
      </c>
      <c r="C37" s="296">
        <v>3380</v>
      </c>
      <c r="D37" s="673">
        <f>176206.36*1.05</f>
        <v>185016.67799999999</v>
      </c>
      <c r="E37" s="673"/>
      <c r="F37" s="673">
        <f>D37/C37*1000</f>
        <v>54738.662130177509</v>
      </c>
      <c r="G37" s="673"/>
      <c r="H37" s="24"/>
    </row>
    <row r="38" spans="1:8" x14ac:dyDescent="0.25">
      <c r="A38" s="161"/>
      <c r="B38" s="269">
        <v>32</v>
      </c>
      <c r="C38" s="296">
        <v>4200</v>
      </c>
      <c r="D38" s="673">
        <f>206585.98*1.05</f>
        <v>216915.27900000001</v>
      </c>
      <c r="E38" s="673"/>
      <c r="F38" s="673">
        <f>D38/C38*1000</f>
        <v>51646.495000000003</v>
      </c>
      <c r="G38" s="673"/>
      <c r="H38" s="24"/>
    </row>
    <row r="39" spans="1:8" x14ac:dyDescent="0.25">
      <c r="A39" s="161"/>
      <c r="B39" s="269">
        <v>35</v>
      </c>
      <c r="C39" s="296">
        <v>5050</v>
      </c>
      <c r="D39" s="673">
        <f>240830.96*1.05</f>
        <v>252872.508</v>
      </c>
      <c r="E39" s="673"/>
      <c r="F39" s="673">
        <f>D39/C39*1000</f>
        <v>50073.763960396042</v>
      </c>
      <c r="G39" s="673"/>
      <c r="H39" s="24"/>
    </row>
    <row r="40" spans="1:8" x14ac:dyDescent="0.25">
      <c r="A40" s="161"/>
      <c r="B40" s="338">
        <v>38</v>
      </c>
      <c r="C40" s="339">
        <v>5980</v>
      </c>
      <c r="D40" s="699">
        <f>299656.98*1.05</f>
        <v>314639.82899999997</v>
      </c>
      <c r="E40" s="699"/>
      <c r="F40" s="699">
        <f>D40/C40*1000</f>
        <v>52615.356020066887</v>
      </c>
      <c r="G40" s="699"/>
      <c r="H40" s="24"/>
    </row>
    <row r="41" spans="1:8" x14ac:dyDescent="0.25">
      <c r="A41" s="161"/>
      <c r="B41" s="693" t="s">
        <v>154</v>
      </c>
      <c r="C41" s="694"/>
      <c r="D41" s="694"/>
      <c r="E41" s="694"/>
      <c r="F41" s="694"/>
      <c r="G41" s="695"/>
      <c r="H41" s="24"/>
    </row>
    <row r="42" spans="1:8" x14ac:dyDescent="0.25">
      <c r="A42" s="161"/>
      <c r="B42" s="269">
        <v>25</v>
      </c>
      <c r="C42" s="296">
        <v>2450</v>
      </c>
      <c r="D42" s="673">
        <f>134591.96*1.05</f>
        <v>141321.55799999999</v>
      </c>
      <c r="E42" s="673"/>
      <c r="F42" s="673">
        <f>D42/C42*1000</f>
        <v>57682.268571428569</v>
      </c>
      <c r="G42" s="673"/>
      <c r="H42" s="24"/>
    </row>
    <row r="43" spans="1:8" x14ac:dyDescent="0.25">
      <c r="A43" s="161"/>
      <c r="B43" s="269">
        <v>28</v>
      </c>
      <c r="C43" s="296">
        <v>3000</v>
      </c>
      <c r="D43" s="673">
        <f>158052.4*1.05</f>
        <v>165955.01999999999</v>
      </c>
      <c r="E43" s="673"/>
      <c r="F43" s="673">
        <f>D43/C43*1000</f>
        <v>55318.34</v>
      </c>
      <c r="G43" s="673"/>
      <c r="H43" s="24"/>
    </row>
    <row r="44" spans="1:8" x14ac:dyDescent="0.25">
      <c r="A44" s="161"/>
      <c r="B44" s="269">
        <v>32</v>
      </c>
      <c r="C44" s="296">
        <v>3800</v>
      </c>
      <c r="D44" s="673">
        <f>197382.84*1.05</f>
        <v>207251.98200000002</v>
      </c>
      <c r="E44" s="673"/>
      <c r="F44" s="673">
        <f>D44/C44*1000</f>
        <v>54539.9952631579</v>
      </c>
      <c r="G44" s="673"/>
      <c r="H44" s="24"/>
    </row>
    <row r="45" spans="1:8" x14ac:dyDescent="0.25">
      <c r="A45" s="161"/>
      <c r="B45" s="269">
        <v>35</v>
      </c>
      <c r="C45" s="296">
        <v>4640</v>
      </c>
      <c r="D45" s="673">
        <f>240484.23*1.05</f>
        <v>252508.44150000002</v>
      </c>
      <c r="E45" s="673"/>
      <c r="F45" s="673">
        <f>D45/C45*1000</f>
        <v>54419.922737068962</v>
      </c>
      <c r="G45" s="673"/>
      <c r="H45" s="24"/>
    </row>
    <row r="46" spans="1:8" x14ac:dyDescent="0.25">
      <c r="A46" s="161"/>
      <c r="B46" s="269">
        <v>38</v>
      </c>
      <c r="C46" s="296">
        <v>5450</v>
      </c>
      <c r="D46" s="673">
        <f>281826.72*1.05</f>
        <v>295918.05599999998</v>
      </c>
      <c r="E46" s="673"/>
      <c r="F46" s="673">
        <f>D46/C46*1000</f>
        <v>54296.891009174309</v>
      </c>
      <c r="G46" s="673"/>
      <c r="H46" s="24"/>
    </row>
    <row r="47" spans="1:8" x14ac:dyDescent="0.25">
      <c r="A47" s="161"/>
      <c r="B47" s="20"/>
      <c r="C47" s="26"/>
      <c r="D47" s="156"/>
      <c r="E47" s="156"/>
      <c r="F47" s="156"/>
      <c r="G47" s="156"/>
      <c r="H47" s="24"/>
    </row>
    <row r="48" spans="1:8" x14ac:dyDescent="0.25">
      <c r="A48" s="161"/>
      <c r="B48" s="20"/>
      <c r="C48" s="26"/>
      <c r="D48" s="156"/>
      <c r="E48" s="156"/>
      <c r="F48" s="156"/>
      <c r="G48" s="29">
        <v>41000</v>
      </c>
      <c r="H48" s="24"/>
    </row>
    <row r="49" spans="2:8" x14ac:dyDescent="0.25">
      <c r="B49" s="684" t="s">
        <v>86</v>
      </c>
      <c r="C49" s="685"/>
      <c r="D49" s="685"/>
      <c r="E49" s="686"/>
      <c r="F49" s="659" t="s">
        <v>659</v>
      </c>
      <c r="G49" s="568"/>
      <c r="H49" s="24"/>
    </row>
    <row r="50" spans="2:8" ht="13.2" customHeight="1" x14ac:dyDescent="0.25">
      <c r="B50" s="687"/>
      <c r="C50" s="688"/>
      <c r="D50" s="688"/>
      <c r="E50" s="689"/>
      <c r="F50" s="659"/>
      <c r="G50" s="568"/>
      <c r="H50" s="24"/>
    </row>
    <row r="51" spans="2:8" ht="31.2" customHeight="1" x14ac:dyDescent="0.25">
      <c r="B51" s="690"/>
      <c r="C51" s="691"/>
      <c r="D51" s="691"/>
      <c r="E51" s="692"/>
      <c r="F51" s="659"/>
      <c r="G51" s="568"/>
      <c r="H51" s="24"/>
    </row>
    <row r="52" spans="2:8" ht="24.6" customHeight="1" x14ac:dyDescent="0.25">
      <c r="B52" s="565" t="s">
        <v>104</v>
      </c>
      <c r="C52" s="565" t="s">
        <v>640</v>
      </c>
      <c r="D52" s="565" t="s">
        <v>501</v>
      </c>
      <c r="E52" s="565"/>
      <c r="F52" s="565" t="s">
        <v>500</v>
      </c>
      <c r="G52" s="565"/>
      <c r="H52" s="24"/>
    </row>
    <row r="53" spans="2:8" x14ac:dyDescent="0.25">
      <c r="B53" s="672"/>
      <c r="C53" s="672"/>
      <c r="D53" s="677" t="s">
        <v>120</v>
      </c>
      <c r="E53" s="677"/>
      <c r="F53" s="677" t="s">
        <v>120</v>
      </c>
      <c r="G53" s="677"/>
      <c r="H53" s="24"/>
    </row>
    <row r="54" spans="2:8" x14ac:dyDescent="0.25">
      <c r="B54" s="674" t="s">
        <v>87</v>
      </c>
      <c r="C54" s="675"/>
      <c r="D54" s="675"/>
      <c r="E54" s="675"/>
      <c r="F54" s="675"/>
      <c r="G54" s="676"/>
      <c r="H54" s="24"/>
    </row>
    <row r="55" spans="2:8" x14ac:dyDescent="0.25">
      <c r="B55" s="336">
        <v>25</v>
      </c>
      <c r="C55" s="337">
        <v>2556.1999735688901</v>
      </c>
      <c r="D55" s="668">
        <f>140929.75*1.05</f>
        <v>147976.23750000002</v>
      </c>
      <c r="E55" s="668"/>
      <c r="F55" s="669">
        <f>D55/C55*1000</f>
        <v>57889.147574553812</v>
      </c>
      <c r="G55" s="669"/>
      <c r="H55" s="24"/>
    </row>
    <row r="56" spans="2:8" x14ac:dyDescent="0.25">
      <c r="B56" s="336">
        <v>28</v>
      </c>
      <c r="C56" s="287">
        <v>3192.2</v>
      </c>
      <c r="D56" s="668">
        <f>169744.26*1.05</f>
        <v>178231.47300000003</v>
      </c>
      <c r="E56" s="668"/>
      <c r="F56" s="669">
        <f>D56/C56*1000</f>
        <v>55833.42929641001</v>
      </c>
      <c r="G56" s="669"/>
      <c r="H56" s="24"/>
    </row>
    <row r="57" spans="2:8" x14ac:dyDescent="0.25">
      <c r="B57" s="336">
        <v>32</v>
      </c>
      <c r="C57" s="287">
        <v>4229</v>
      </c>
      <c r="D57" s="668">
        <f>212172.27*1.05</f>
        <v>222780.8835</v>
      </c>
      <c r="E57" s="668"/>
      <c r="F57" s="669">
        <f>D57/C57*1000</f>
        <v>52679.329274060059</v>
      </c>
      <c r="G57" s="669"/>
      <c r="H57" s="24"/>
    </row>
    <row r="58" spans="2:8" x14ac:dyDescent="0.25">
      <c r="B58" s="336">
        <v>35</v>
      </c>
      <c r="C58" s="287">
        <v>5046.1000000000004</v>
      </c>
      <c r="D58" s="668">
        <f>245457.86*1.05</f>
        <v>257730.753</v>
      </c>
      <c r="E58" s="668"/>
      <c r="F58" s="669">
        <f>D58/C58*1000</f>
        <v>51075.236915637819</v>
      </c>
      <c r="G58" s="669"/>
      <c r="H58" s="24"/>
    </row>
    <row r="59" spans="2:8" x14ac:dyDescent="0.25">
      <c r="B59" s="340">
        <v>38</v>
      </c>
      <c r="C59" s="319">
        <v>5861.5</v>
      </c>
      <c r="D59" s="670">
        <f>293718.97*1.05</f>
        <v>308404.91849999997</v>
      </c>
      <c r="E59" s="670"/>
      <c r="F59" s="671">
        <f>D59/C59*1000</f>
        <v>52615.357587648206</v>
      </c>
      <c r="G59" s="671"/>
      <c r="H59" s="24"/>
    </row>
    <row r="60" spans="2:8" x14ac:dyDescent="0.25">
      <c r="B60" s="674" t="s">
        <v>639</v>
      </c>
      <c r="C60" s="675"/>
      <c r="D60" s="675"/>
      <c r="E60" s="675"/>
      <c r="F60" s="675"/>
      <c r="G60" s="676"/>
      <c r="H60" s="24"/>
    </row>
    <row r="61" spans="2:8" x14ac:dyDescent="0.25">
      <c r="B61" s="336">
        <v>25</v>
      </c>
      <c r="C61" s="337">
        <v>2669.1</v>
      </c>
      <c r="D61" s="668">
        <f>153106.1*1.05</f>
        <v>160761.405</v>
      </c>
      <c r="E61" s="668"/>
      <c r="F61" s="669">
        <f>D61/C61*1000</f>
        <v>60230.566483084192</v>
      </c>
      <c r="G61" s="669"/>
      <c r="H61" s="24"/>
    </row>
    <row r="62" spans="2:8" x14ac:dyDescent="0.25">
      <c r="B62" s="336">
        <v>28</v>
      </c>
      <c r="C62" s="287">
        <v>3366.2</v>
      </c>
      <c r="D62" s="668">
        <f>184410.18*1.05</f>
        <v>193630.68900000001</v>
      </c>
      <c r="E62" s="668"/>
      <c r="F62" s="669">
        <f>D62/C62*1000</f>
        <v>57522.039391598846</v>
      </c>
      <c r="G62" s="669"/>
      <c r="H62" s="24"/>
    </row>
    <row r="63" spans="2:8" x14ac:dyDescent="0.25">
      <c r="B63" s="336">
        <v>32</v>
      </c>
      <c r="C63" s="287">
        <v>4318.3</v>
      </c>
      <c r="D63" s="668">
        <f>230503.97*1.05</f>
        <v>242029.1685</v>
      </c>
      <c r="E63" s="668"/>
      <c r="F63" s="669">
        <f>D63/C63*1000</f>
        <v>56047.32614686335</v>
      </c>
      <c r="G63" s="669"/>
      <c r="H63" s="24"/>
    </row>
    <row r="64" spans="2:8" x14ac:dyDescent="0.25">
      <c r="B64" s="336">
        <v>35</v>
      </c>
      <c r="C64" s="287">
        <v>5291.4</v>
      </c>
      <c r="D64" s="668">
        <f>266665.44*1.05</f>
        <v>279998.712</v>
      </c>
      <c r="E64" s="668"/>
      <c r="F64" s="669">
        <f>D64/C64*1000</f>
        <v>52915.809048644973</v>
      </c>
      <c r="G64" s="669"/>
    </row>
    <row r="65" spans="2:7" x14ac:dyDescent="0.25">
      <c r="B65" s="286">
        <v>38</v>
      </c>
      <c r="C65" s="287">
        <v>6149.1</v>
      </c>
      <c r="D65" s="668">
        <f>319096.29*1.05</f>
        <v>335051.10450000002</v>
      </c>
      <c r="E65" s="668"/>
      <c r="F65" s="669">
        <f>D65/C65*1000</f>
        <v>54487.828218763723</v>
      </c>
      <c r="G65" s="669"/>
    </row>
  </sheetData>
  <mergeCells count="74">
    <mergeCell ref="B35:G35"/>
    <mergeCell ref="F36:G36"/>
    <mergeCell ref="D34:E34"/>
    <mergeCell ref="D40:E40"/>
    <mergeCell ref="C33:C34"/>
    <mergeCell ref="F38:G38"/>
    <mergeCell ref="F40:G40"/>
    <mergeCell ref="D42:E42"/>
    <mergeCell ref="D37:E37"/>
    <mergeCell ref="D36:E36"/>
    <mergeCell ref="F2:G3"/>
    <mergeCell ref="B2:E3"/>
    <mergeCell ref="B30:E30"/>
    <mergeCell ref="F30:G32"/>
    <mergeCell ref="B13:E14"/>
    <mergeCell ref="F13:G14"/>
    <mergeCell ref="B15:B16"/>
    <mergeCell ref="C15:C16"/>
    <mergeCell ref="D15:E15"/>
    <mergeCell ref="D4:E4"/>
    <mergeCell ref="F4:G4"/>
    <mergeCell ref="B4:B5"/>
    <mergeCell ref="C4:C5"/>
    <mergeCell ref="F15:G15"/>
    <mergeCell ref="B31:E31"/>
    <mergeCell ref="B32:E32"/>
    <mergeCell ref="F53:G53"/>
    <mergeCell ref="D55:E55"/>
    <mergeCell ref="B49:E51"/>
    <mergeCell ref="D45:E45"/>
    <mergeCell ref="D33:E33"/>
    <mergeCell ref="D46:E46"/>
    <mergeCell ref="B41:G41"/>
    <mergeCell ref="D38:E38"/>
    <mergeCell ref="D39:E39"/>
    <mergeCell ref="F34:G34"/>
    <mergeCell ref="F37:G37"/>
    <mergeCell ref="F45:G45"/>
    <mergeCell ref="F33:G33"/>
    <mergeCell ref="F42:G42"/>
    <mergeCell ref="F39:G39"/>
    <mergeCell ref="B33:B34"/>
    <mergeCell ref="B60:G60"/>
    <mergeCell ref="D62:E62"/>
    <mergeCell ref="D53:E53"/>
    <mergeCell ref="F49:G51"/>
    <mergeCell ref="F43:G43"/>
    <mergeCell ref="D56:E56"/>
    <mergeCell ref="F56:G56"/>
    <mergeCell ref="B54:G54"/>
    <mergeCell ref="F44:G44"/>
    <mergeCell ref="F46:G46"/>
    <mergeCell ref="D43:E43"/>
    <mergeCell ref="D44:E44"/>
    <mergeCell ref="D52:E52"/>
    <mergeCell ref="F52:G52"/>
    <mergeCell ref="B52:B53"/>
    <mergeCell ref="C52:C53"/>
    <mergeCell ref="D61:E61"/>
    <mergeCell ref="F61:G61"/>
    <mergeCell ref="F55:G55"/>
    <mergeCell ref="D65:E65"/>
    <mergeCell ref="F65:G65"/>
    <mergeCell ref="D64:E64"/>
    <mergeCell ref="F64:G64"/>
    <mergeCell ref="D57:E57"/>
    <mergeCell ref="F57:G57"/>
    <mergeCell ref="F62:G62"/>
    <mergeCell ref="D58:E58"/>
    <mergeCell ref="F58:G58"/>
    <mergeCell ref="D59:E59"/>
    <mergeCell ref="F59:G59"/>
    <mergeCell ref="D63:E63"/>
    <mergeCell ref="F63:G63"/>
  </mergeCells>
  <phoneticPr fontId="0" type="noConversion"/>
  <hyperlinks>
    <hyperlink ref="H1" location="'2'!A1" display="Оглавление"/>
  </hyperlinks>
  <printOptions horizontalCentered="1"/>
  <pageMargins left="0.39370078740157483" right="0.39370078740157483" top="0.51181102362204722" bottom="0.78740157480314965" header="0.15748031496062992" footer="0.51181102362204722"/>
  <pageSetup paperSize="9" scale="83" orientation="portrait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H26"/>
  <sheetViews>
    <sheetView view="pageBreakPreview" zoomScale="85" zoomScaleNormal="70" workbookViewId="0"/>
  </sheetViews>
  <sheetFormatPr defaultColWidth="8.88671875" defaultRowHeight="13.2" x14ac:dyDescent="0.25"/>
  <cols>
    <col min="1" max="1" width="8.88671875" style="24"/>
    <col min="2" max="2" width="10.33203125" style="70" customWidth="1"/>
    <col min="3" max="3" width="13.6640625" style="70" customWidth="1"/>
    <col min="4" max="5" width="15.109375" style="70" customWidth="1"/>
    <col min="6" max="7" width="13.33203125" style="70" customWidth="1"/>
    <col min="8" max="8" width="11.6640625" style="70" customWidth="1"/>
    <col min="9" max="16384" width="8.88671875" style="70"/>
  </cols>
  <sheetData>
    <row r="1" spans="1:8" x14ac:dyDescent="0.25">
      <c r="G1" s="29">
        <v>41000</v>
      </c>
      <c r="H1" s="54" t="s">
        <v>466</v>
      </c>
    </row>
    <row r="2" spans="1:8" ht="13.2" customHeight="1" x14ac:dyDescent="0.25">
      <c r="B2" s="627" t="s">
        <v>655</v>
      </c>
      <c r="C2" s="628"/>
      <c r="D2" s="628"/>
      <c r="E2" s="629"/>
      <c r="F2" s="568" t="s">
        <v>492</v>
      </c>
      <c r="G2" s="568"/>
      <c r="H2" s="24"/>
    </row>
    <row r="3" spans="1:8" ht="13.2" customHeight="1" x14ac:dyDescent="0.25">
      <c r="B3" s="630"/>
      <c r="C3" s="631"/>
      <c r="D3" s="631"/>
      <c r="E3" s="632"/>
      <c r="F3" s="568"/>
      <c r="G3" s="568"/>
      <c r="H3" s="24"/>
    </row>
    <row r="4" spans="1:8" ht="13.2" customHeight="1" x14ac:dyDescent="0.25">
      <c r="B4" s="565" t="s">
        <v>104</v>
      </c>
      <c r="C4" s="565" t="s">
        <v>359</v>
      </c>
      <c r="D4" s="565" t="s">
        <v>501</v>
      </c>
      <c r="E4" s="565"/>
      <c r="F4" s="565" t="s">
        <v>500</v>
      </c>
      <c r="G4" s="565"/>
      <c r="H4" s="24"/>
    </row>
    <row r="5" spans="1:8" ht="13.2" customHeight="1" x14ac:dyDescent="0.25">
      <c r="A5" s="180"/>
      <c r="B5" s="565"/>
      <c r="C5" s="565"/>
      <c r="D5" s="420" t="s">
        <v>120</v>
      </c>
      <c r="E5" s="420" t="s">
        <v>264</v>
      </c>
      <c r="F5" s="420" t="s">
        <v>120</v>
      </c>
      <c r="G5" s="420" t="s">
        <v>264</v>
      </c>
      <c r="H5" s="24"/>
    </row>
    <row r="6" spans="1:8" x14ac:dyDescent="0.25">
      <c r="A6" s="341"/>
      <c r="B6" s="286">
        <v>64</v>
      </c>
      <c r="C6" s="334">
        <v>17499</v>
      </c>
      <c r="D6" s="287">
        <f>908430.42*1.05</f>
        <v>953851.94100000011</v>
      </c>
      <c r="E6" s="287">
        <v>0</v>
      </c>
      <c r="F6" s="287">
        <f>D6/C6*1000</f>
        <v>54508.939996571236</v>
      </c>
      <c r="G6" s="287">
        <v>0</v>
      </c>
      <c r="H6" s="24"/>
    </row>
    <row r="7" spans="1:8" x14ac:dyDescent="0.25">
      <c r="A7" s="151"/>
      <c r="B7" s="88"/>
      <c r="C7" s="82"/>
      <c r="D7" s="80"/>
      <c r="E7" s="80"/>
      <c r="F7" s="80"/>
      <c r="G7" s="80"/>
      <c r="H7" s="24"/>
    </row>
    <row r="8" spans="1:8" s="3" customFormat="1" x14ac:dyDescent="0.25">
      <c r="A8" s="151"/>
      <c r="G8" s="29">
        <v>41000</v>
      </c>
      <c r="H8" s="24"/>
    </row>
    <row r="9" spans="1:8" s="3" customFormat="1" x14ac:dyDescent="0.25">
      <c r="A9" s="341"/>
      <c r="B9" s="700" t="s">
        <v>162</v>
      </c>
      <c r="C9" s="701"/>
      <c r="D9" s="701"/>
      <c r="E9" s="702"/>
      <c r="F9" s="568" t="s">
        <v>470</v>
      </c>
      <c r="G9" s="568"/>
      <c r="H9" s="24"/>
    </row>
    <row r="10" spans="1:8" s="3" customFormat="1" ht="18" customHeight="1" x14ac:dyDescent="0.25">
      <c r="A10" s="341"/>
      <c r="B10" s="703"/>
      <c r="C10" s="704"/>
      <c r="D10" s="704"/>
      <c r="E10" s="705"/>
      <c r="F10" s="568"/>
      <c r="G10" s="568"/>
      <c r="H10" s="24"/>
    </row>
    <row r="11" spans="1:8" s="16" customFormat="1" ht="31.2" customHeight="1" x14ac:dyDescent="0.25">
      <c r="A11" s="341"/>
      <c r="B11" s="565" t="s">
        <v>104</v>
      </c>
      <c r="C11" s="565" t="s">
        <v>119</v>
      </c>
      <c r="D11" s="565" t="s">
        <v>501</v>
      </c>
      <c r="E11" s="565"/>
      <c r="F11" s="565" t="s">
        <v>500</v>
      </c>
      <c r="G11" s="565"/>
      <c r="H11" s="24"/>
    </row>
    <row r="12" spans="1:8" s="16" customFormat="1" ht="21" customHeight="1" x14ac:dyDescent="0.25">
      <c r="A12" s="341"/>
      <c r="B12" s="565"/>
      <c r="C12" s="565"/>
      <c r="D12" s="567" t="s">
        <v>120</v>
      </c>
      <c r="E12" s="567"/>
      <c r="F12" s="567" t="s">
        <v>120</v>
      </c>
      <c r="G12" s="567"/>
      <c r="H12" s="24"/>
    </row>
    <row r="13" spans="1:8" s="3" customFormat="1" x14ac:dyDescent="0.25">
      <c r="A13" s="341"/>
      <c r="B13" s="289">
        <v>18</v>
      </c>
      <c r="C13" s="266">
        <v>1420</v>
      </c>
      <c r="D13" s="706">
        <f>83941.61*1.05</f>
        <v>88138.690500000012</v>
      </c>
      <c r="E13" s="706"/>
      <c r="F13" s="706">
        <f>D13/C13*1000</f>
        <v>62069.500352112686</v>
      </c>
      <c r="G13" s="706"/>
      <c r="H13" s="24"/>
    </row>
    <row r="14" spans="1:8" s="3" customFormat="1" x14ac:dyDescent="0.25">
      <c r="A14" s="341"/>
      <c r="B14" s="289">
        <v>21</v>
      </c>
      <c r="C14" s="266">
        <v>1980</v>
      </c>
      <c r="D14" s="706">
        <f>113525.49*1.05</f>
        <v>119201.7645</v>
      </c>
      <c r="E14" s="706"/>
      <c r="F14" s="706">
        <f>D14/C14*1000</f>
        <v>60202.911363636369</v>
      </c>
      <c r="G14" s="706"/>
      <c r="H14" s="24"/>
    </row>
    <row r="15" spans="1:8" s="3" customFormat="1" x14ac:dyDescent="0.25">
      <c r="A15" s="341"/>
      <c r="B15" s="289">
        <v>42</v>
      </c>
      <c r="C15" s="266">
        <v>7800</v>
      </c>
      <c r="D15" s="706">
        <f>382437.62*1.05</f>
        <v>401559.50099999999</v>
      </c>
      <c r="E15" s="706"/>
      <c r="F15" s="706">
        <f>D15/C15*1000</f>
        <v>51481.98730769231</v>
      </c>
      <c r="G15" s="706"/>
      <c r="H15" s="24"/>
    </row>
    <row r="16" spans="1:8" s="3" customFormat="1" x14ac:dyDescent="0.25">
      <c r="A16" s="151"/>
      <c r="B16" s="11"/>
      <c r="C16" s="23"/>
      <c r="D16" s="23"/>
      <c r="E16" s="71"/>
      <c r="F16" s="23"/>
      <c r="G16" s="23"/>
      <c r="H16" s="24"/>
    </row>
    <row r="17" spans="1:8" x14ac:dyDescent="0.25">
      <c r="A17" s="151"/>
      <c r="B17" s="89"/>
      <c r="C17" s="88"/>
      <c r="D17" s="80"/>
      <c r="E17" s="80"/>
      <c r="F17" s="80"/>
      <c r="G17" s="80"/>
      <c r="H17" s="24"/>
    </row>
    <row r="18" spans="1:8" s="24" customFormat="1" ht="13.2" customHeight="1" x14ac:dyDescent="0.25">
      <c r="A18" s="151"/>
      <c r="B18" s="81"/>
      <c r="C18" s="82"/>
      <c r="D18" s="82"/>
      <c r="E18" s="82"/>
      <c r="F18" s="82"/>
      <c r="G18" s="29">
        <v>41000</v>
      </c>
    </row>
    <row r="19" spans="1:8" s="24" customFormat="1" ht="13.95" customHeight="1" x14ac:dyDescent="0.25">
      <c r="A19" s="341"/>
      <c r="B19" s="627" t="s">
        <v>368</v>
      </c>
      <c r="C19" s="628"/>
      <c r="D19" s="628"/>
      <c r="E19" s="629"/>
      <c r="F19" s="568" t="s">
        <v>471</v>
      </c>
      <c r="G19" s="568"/>
    </row>
    <row r="20" spans="1:8" s="24" customFormat="1" ht="13.2" customHeight="1" x14ac:dyDescent="0.25">
      <c r="A20" s="341"/>
      <c r="B20" s="630"/>
      <c r="C20" s="631"/>
      <c r="D20" s="631"/>
      <c r="E20" s="632"/>
      <c r="F20" s="568"/>
      <c r="G20" s="568"/>
    </row>
    <row r="21" spans="1:8" s="24" customFormat="1" x14ac:dyDescent="0.25">
      <c r="A21" s="341"/>
      <c r="B21" s="565" t="s">
        <v>104</v>
      </c>
      <c r="C21" s="565" t="s">
        <v>359</v>
      </c>
      <c r="D21" s="565" t="s">
        <v>501</v>
      </c>
      <c r="E21" s="565"/>
      <c r="F21" s="565" t="s">
        <v>500</v>
      </c>
      <c r="G21" s="565"/>
    </row>
    <row r="22" spans="1:8" s="24" customFormat="1" x14ac:dyDescent="0.25">
      <c r="A22" s="341"/>
      <c r="B22" s="565"/>
      <c r="C22" s="565"/>
      <c r="D22" s="420" t="s">
        <v>120</v>
      </c>
      <c r="E22" s="420" t="s">
        <v>264</v>
      </c>
      <c r="F22" s="420" t="s">
        <v>120</v>
      </c>
      <c r="G22" s="420" t="s">
        <v>264</v>
      </c>
    </row>
    <row r="23" spans="1:8" s="24" customFormat="1" x14ac:dyDescent="0.25">
      <c r="A23" s="341"/>
      <c r="B23" s="286">
        <v>12</v>
      </c>
      <c r="C23" s="287">
        <v>585</v>
      </c>
      <c r="D23" s="287">
        <f>39715.8*1.05</f>
        <v>41701.590000000004</v>
      </c>
      <c r="E23" s="287">
        <f>51462.77*1.05</f>
        <v>54035.908499999998</v>
      </c>
      <c r="F23" s="287">
        <f>D23/C23*1000</f>
        <v>71284.769230769249</v>
      </c>
      <c r="G23" s="287">
        <f>E23/C23*1000</f>
        <v>92369.074358974365</v>
      </c>
      <c r="H23" s="182"/>
    </row>
    <row r="24" spans="1:8" s="24" customFormat="1" x14ac:dyDescent="0.25">
      <c r="A24" s="341"/>
      <c r="B24" s="286">
        <v>14</v>
      </c>
      <c r="C24" s="287">
        <v>810</v>
      </c>
      <c r="D24" s="287">
        <f>52267.48*1.05</f>
        <v>54880.854000000007</v>
      </c>
      <c r="E24" s="287">
        <f>67726.98*1.05</f>
        <v>71113.328999999998</v>
      </c>
      <c r="F24" s="287">
        <f>D24/C24*1000</f>
        <v>67754.140740740753</v>
      </c>
      <c r="G24" s="287">
        <f>E24/C24*1000</f>
        <v>87794.233333333323</v>
      </c>
      <c r="H24" s="182"/>
    </row>
    <row r="25" spans="1:8" s="24" customFormat="1" x14ac:dyDescent="0.25">
      <c r="A25" s="341"/>
      <c r="B25" s="286">
        <v>16</v>
      </c>
      <c r="C25" s="287">
        <v>1062</v>
      </c>
      <c r="D25" s="287">
        <f>65628.9*1.05</f>
        <v>68910.345000000001</v>
      </c>
      <c r="E25" s="287">
        <f>85047.08*1.05</f>
        <v>89299.434000000008</v>
      </c>
      <c r="F25" s="287">
        <f>D25/C25*1000</f>
        <v>64887.330508474573</v>
      </c>
      <c r="G25" s="287">
        <f>E25/C25*1000</f>
        <v>84086.096045197744</v>
      </c>
      <c r="H25" s="182"/>
    </row>
    <row r="26" spans="1:8" s="24" customFormat="1" x14ac:dyDescent="0.25">
      <c r="A26" s="151"/>
      <c r="B26" s="88"/>
      <c r="C26" s="80"/>
      <c r="D26" s="82"/>
      <c r="E26" s="82"/>
      <c r="F26" s="80"/>
      <c r="G26" s="80"/>
    </row>
  </sheetData>
  <mergeCells count="26">
    <mergeCell ref="B2:E3"/>
    <mergeCell ref="F2:G3"/>
    <mergeCell ref="B4:B5"/>
    <mergeCell ref="C4:C5"/>
    <mergeCell ref="D4:E4"/>
    <mergeCell ref="F4:G4"/>
    <mergeCell ref="F13:G13"/>
    <mergeCell ref="F14:G14"/>
    <mergeCell ref="F15:G15"/>
    <mergeCell ref="D13:E13"/>
    <mergeCell ref="D14:E14"/>
    <mergeCell ref="D15:E15"/>
    <mergeCell ref="B9:E10"/>
    <mergeCell ref="F9:G10"/>
    <mergeCell ref="B11:B12"/>
    <mergeCell ref="C11:C12"/>
    <mergeCell ref="D11:E11"/>
    <mergeCell ref="F11:G11"/>
    <mergeCell ref="D12:E12"/>
    <mergeCell ref="F12:G12"/>
    <mergeCell ref="F21:G21"/>
    <mergeCell ref="B21:B22"/>
    <mergeCell ref="C21:C22"/>
    <mergeCell ref="D21:E21"/>
    <mergeCell ref="B19:E20"/>
    <mergeCell ref="F19:G20"/>
  </mergeCells>
  <phoneticPr fontId="0" type="noConversion"/>
  <hyperlinks>
    <hyperlink ref="H1" location="'2'!A1" display="Оглавление"/>
  </hyperlinks>
  <printOptions horizontalCentered="1"/>
  <pageMargins left="0.78740157480314965" right="0.78740157480314965" top="0.98425196850393704" bottom="0.98425196850393704" header="0.39370078740157483" footer="0.23622047244094491"/>
  <pageSetup paperSize="9" orientation="portrait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33"/>
  <sheetViews>
    <sheetView view="pageBreakPreview" zoomScale="85" zoomScaleNormal="75" workbookViewId="0"/>
  </sheetViews>
  <sheetFormatPr defaultColWidth="8.88671875" defaultRowHeight="13.2" x14ac:dyDescent="0.25"/>
  <cols>
    <col min="1" max="1" width="8.88671875" style="24"/>
    <col min="2" max="2" width="14.6640625" style="135" customWidth="1"/>
    <col min="3" max="3" width="15.6640625" style="135" customWidth="1"/>
    <col min="4" max="4" width="13.33203125" style="135" customWidth="1"/>
    <col min="5" max="5" width="14.33203125" style="135" customWidth="1"/>
    <col min="6" max="6" width="11.6640625" style="135" customWidth="1"/>
    <col min="7" max="7" width="14.5546875" style="135" customWidth="1"/>
    <col min="8" max="16384" width="8.88671875" style="135"/>
  </cols>
  <sheetData>
    <row r="1" spans="1:8" ht="20.399999999999999" x14ac:dyDescent="0.35">
      <c r="B1" s="711" t="s">
        <v>75</v>
      </c>
      <c r="C1" s="711"/>
      <c r="D1" s="711"/>
      <c r="E1" s="711"/>
      <c r="F1" s="711"/>
      <c r="G1" s="711"/>
    </row>
    <row r="2" spans="1:8" ht="34.200000000000003" customHeight="1" x14ac:dyDescent="0.25">
      <c r="B2" s="712" t="s">
        <v>23</v>
      </c>
      <c r="C2" s="712"/>
      <c r="D2" s="712"/>
      <c r="E2" s="712"/>
      <c r="F2" s="712"/>
      <c r="G2" s="712"/>
      <c r="H2" s="54" t="s">
        <v>466</v>
      </c>
    </row>
    <row r="3" spans="1:8" ht="17.399999999999999" x14ac:dyDescent="0.25">
      <c r="B3" s="164"/>
      <c r="C3" s="164"/>
      <c r="D3" s="164"/>
      <c r="E3" s="164"/>
      <c r="F3" s="164"/>
      <c r="G3" s="164"/>
      <c r="H3" s="54"/>
    </row>
    <row r="4" spans="1:8" x14ac:dyDescent="0.25">
      <c r="B4" s="141"/>
      <c r="C4" s="142"/>
      <c r="D4" s="142"/>
      <c r="E4" s="142"/>
      <c r="F4" s="142"/>
      <c r="G4" s="142"/>
    </row>
    <row r="5" spans="1:8" s="24" customFormat="1" ht="13.2" customHeight="1" x14ac:dyDescent="0.25">
      <c r="A5" s="151"/>
      <c r="B5" s="70"/>
      <c r="C5" s="165"/>
      <c r="D5" s="70"/>
      <c r="E5" s="70"/>
      <c r="G5" s="236">
        <v>40299</v>
      </c>
    </row>
    <row r="6" spans="1:8" s="24" customFormat="1" ht="13.2" customHeight="1" x14ac:dyDescent="0.25">
      <c r="A6" s="341"/>
      <c r="B6" s="627" t="s">
        <v>789</v>
      </c>
      <c r="C6" s="628"/>
      <c r="D6" s="628"/>
      <c r="E6" s="629"/>
      <c r="F6" s="568" t="s">
        <v>400</v>
      </c>
      <c r="G6" s="568"/>
    </row>
    <row r="7" spans="1:8" s="24" customFormat="1" ht="13.2" customHeight="1" x14ac:dyDescent="0.25">
      <c r="A7" s="341"/>
      <c r="B7" s="630"/>
      <c r="C7" s="631"/>
      <c r="D7" s="631"/>
      <c r="E7" s="632"/>
      <c r="F7" s="568"/>
      <c r="G7" s="568"/>
    </row>
    <row r="8" spans="1:8" s="24" customFormat="1" ht="13.2" customHeight="1" x14ac:dyDescent="0.25">
      <c r="A8" s="341"/>
      <c r="B8" s="565" t="s">
        <v>104</v>
      </c>
      <c r="C8" s="565" t="s">
        <v>359</v>
      </c>
      <c r="D8" s="565" t="s">
        <v>501</v>
      </c>
      <c r="E8" s="565"/>
      <c r="F8" s="565" t="s">
        <v>500</v>
      </c>
      <c r="G8" s="565"/>
    </row>
    <row r="9" spans="1:8" s="24" customFormat="1" x14ac:dyDescent="0.25">
      <c r="A9" s="341"/>
      <c r="B9" s="565"/>
      <c r="C9" s="565"/>
      <c r="D9" s="245" t="s">
        <v>120</v>
      </c>
      <c r="E9" s="245" t="s">
        <v>264</v>
      </c>
      <c r="F9" s="245" t="s">
        <v>120</v>
      </c>
      <c r="G9" s="245" t="s">
        <v>264</v>
      </c>
    </row>
    <row r="10" spans="1:8" s="24" customFormat="1" x14ac:dyDescent="0.25">
      <c r="A10" s="341"/>
      <c r="B10" s="346">
        <v>58</v>
      </c>
      <c r="C10" s="348">
        <v>14744</v>
      </c>
      <c r="D10" s="287">
        <v>0</v>
      </c>
      <c r="E10" s="287">
        <f>1228654.74*1.1</f>
        <v>1351520.2140000002</v>
      </c>
      <c r="F10" s="287">
        <v>0</v>
      </c>
      <c r="G10" s="287">
        <f>E10/C10*1000</f>
        <v>91665.776858383077</v>
      </c>
    </row>
    <row r="11" spans="1:8" s="24" customFormat="1" x14ac:dyDescent="0.25">
      <c r="A11" s="341"/>
      <c r="B11" s="346">
        <v>67.5</v>
      </c>
      <c r="C11" s="348">
        <v>18181</v>
      </c>
      <c r="D11" s="287">
        <v>0</v>
      </c>
      <c r="E11" s="287">
        <f>1487948.56*1.1</f>
        <v>1636743.4160000002</v>
      </c>
      <c r="F11" s="287">
        <v>0</v>
      </c>
      <c r="G11" s="287">
        <f>E11/C11*1000</f>
        <v>90024.939002255109</v>
      </c>
    </row>
    <row r="12" spans="1:8" s="24" customFormat="1" x14ac:dyDescent="0.25">
      <c r="A12" s="341"/>
      <c r="B12" s="346">
        <v>80</v>
      </c>
      <c r="C12" s="348">
        <v>26928</v>
      </c>
      <c r="D12" s="287">
        <v>0</v>
      </c>
      <c r="E12" s="287">
        <f>2052141.08*1.1</f>
        <v>2257355.1880000001</v>
      </c>
      <c r="F12" s="287">
        <v>0</v>
      </c>
      <c r="G12" s="287">
        <f>E12/C12*1000</f>
        <v>83829.292483660145</v>
      </c>
    </row>
    <row r="13" spans="1:8" s="24" customFormat="1" x14ac:dyDescent="0.25">
      <c r="A13" s="341"/>
      <c r="B13" s="346">
        <v>90</v>
      </c>
      <c r="C13" s="348">
        <v>34300</v>
      </c>
      <c r="D13" s="287">
        <v>0</v>
      </c>
      <c r="E13" s="287">
        <f>2654310.32*1.1</f>
        <v>2919741.352</v>
      </c>
      <c r="F13" s="287">
        <v>0</v>
      </c>
      <c r="G13" s="287">
        <f>E13/C13*1000</f>
        <v>85123.654577259469</v>
      </c>
    </row>
    <row r="14" spans="1:8" s="24" customFormat="1" x14ac:dyDescent="0.25">
      <c r="A14" s="151"/>
      <c r="B14" s="88"/>
      <c r="C14" s="80"/>
      <c r="D14" s="80"/>
      <c r="E14" s="80"/>
      <c r="F14" s="80"/>
      <c r="G14" s="80"/>
    </row>
    <row r="15" spans="1:8" s="24" customFormat="1" x14ac:dyDescent="0.25">
      <c r="A15" s="151"/>
      <c r="B15" s="88"/>
      <c r="C15" s="80"/>
      <c r="D15" s="80"/>
      <c r="E15" s="80"/>
      <c r="F15" s="80"/>
      <c r="G15" s="80"/>
    </row>
    <row r="16" spans="1:8" s="24" customFormat="1" x14ac:dyDescent="0.25">
      <c r="A16" s="151"/>
      <c r="B16" s="70"/>
      <c r="C16" s="70"/>
      <c r="D16" s="70"/>
      <c r="E16" s="70"/>
      <c r="G16" s="236">
        <v>40299</v>
      </c>
    </row>
    <row r="17" spans="1:7" s="24" customFormat="1" ht="13.2" customHeight="1" x14ac:dyDescent="0.25">
      <c r="A17" s="341"/>
      <c r="B17" s="627" t="s">
        <v>420</v>
      </c>
      <c r="C17" s="628"/>
      <c r="D17" s="628"/>
      <c r="E17" s="629"/>
      <c r="F17" s="568" t="s">
        <v>401</v>
      </c>
      <c r="G17" s="568"/>
    </row>
    <row r="18" spans="1:7" s="24" customFormat="1" x14ac:dyDescent="0.25">
      <c r="A18" s="341"/>
      <c r="B18" s="630"/>
      <c r="C18" s="631"/>
      <c r="D18" s="631"/>
      <c r="E18" s="632"/>
      <c r="F18" s="568"/>
      <c r="G18" s="568"/>
    </row>
    <row r="19" spans="1:7" s="24" customFormat="1" ht="13.2" customHeight="1" x14ac:dyDescent="0.25">
      <c r="A19" s="341"/>
      <c r="B19" s="565" t="s">
        <v>104</v>
      </c>
      <c r="C19" s="565" t="s">
        <v>359</v>
      </c>
      <c r="D19" s="565" t="s">
        <v>501</v>
      </c>
      <c r="E19" s="565"/>
      <c r="F19" s="565" t="s">
        <v>500</v>
      </c>
      <c r="G19" s="565"/>
    </row>
    <row r="20" spans="1:7" s="24" customFormat="1" x14ac:dyDescent="0.25">
      <c r="A20" s="341"/>
      <c r="B20" s="565"/>
      <c r="C20" s="565"/>
      <c r="D20" s="245" t="s">
        <v>120</v>
      </c>
      <c r="E20" s="245" t="s">
        <v>264</v>
      </c>
      <c r="F20" s="245" t="s">
        <v>120</v>
      </c>
      <c r="G20" s="245" t="s">
        <v>264</v>
      </c>
    </row>
    <row r="21" spans="1:7" s="24" customFormat="1" x14ac:dyDescent="0.25">
      <c r="A21" s="341"/>
      <c r="B21" s="346">
        <v>37.5</v>
      </c>
      <c r="C21" s="348">
        <v>6420</v>
      </c>
      <c r="D21" s="287">
        <v>0</v>
      </c>
      <c r="E21" s="287">
        <f>475396.11*1.1</f>
        <v>522935.72100000002</v>
      </c>
      <c r="F21" s="287">
        <v>0</v>
      </c>
      <c r="G21" s="287">
        <f>E21/C21*1000</f>
        <v>81454.162149532713</v>
      </c>
    </row>
    <row r="22" spans="1:7" s="70" customFormat="1" x14ac:dyDescent="0.25">
      <c r="A22" s="341"/>
      <c r="B22" s="343">
        <v>49.5</v>
      </c>
      <c r="C22" s="348">
        <v>10400</v>
      </c>
      <c r="D22" s="287">
        <v>0</v>
      </c>
      <c r="E22" s="287">
        <f>759048.64*1.1</f>
        <v>834953.50400000007</v>
      </c>
      <c r="F22" s="287">
        <v>0</v>
      </c>
      <c r="G22" s="287">
        <f>E22/C22*1000</f>
        <v>80283.99076923079</v>
      </c>
    </row>
    <row r="23" spans="1:7" s="70" customFormat="1" x14ac:dyDescent="0.25">
      <c r="A23" s="341"/>
      <c r="B23" s="343">
        <v>54</v>
      </c>
      <c r="C23" s="348">
        <v>13150</v>
      </c>
      <c r="D23" s="287">
        <v>0</v>
      </c>
      <c r="E23" s="287">
        <f>946477.09*1.1</f>
        <v>1041124.799</v>
      </c>
      <c r="F23" s="287">
        <v>0</v>
      </c>
      <c r="G23" s="287">
        <f>E23/C23*1000</f>
        <v>79172.988517110265</v>
      </c>
    </row>
    <row r="24" spans="1:7" s="70" customFormat="1" x14ac:dyDescent="0.25">
      <c r="A24" s="151"/>
      <c r="B24" s="24"/>
      <c r="C24" s="24"/>
      <c r="D24" s="24"/>
      <c r="E24" s="24"/>
      <c r="F24" s="24"/>
    </row>
    <row r="25" spans="1:7" s="70" customFormat="1" x14ac:dyDescent="0.25">
      <c r="A25" s="24"/>
      <c r="B25" s="24"/>
      <c r="C25" s="24"/>
      <c r="D25" s="24"/>
      <c r="E25" s="24"/>
      <c r="F25" s="24"/>
      <c r="G25" s="24"/>
    </row>
    <row r="26" spans="1:7" s="70" customFormat="1" x14ac:dyDescent="0.25">
      <c r="A26" s="24"/>
      <c r="B26" s="24"/>
      <c r="C26" s="24"/>
      <c r="D26" s="24"/>
      <c r="E26" s="24"/>
      <c r="F26" s="24"/>
      <c r="G26" s="24"/>
    </row>
    <row r="27" spans="1:7" s="70" customFormat="1" x14ac:dyDescent="0.25">
      <c r="A27" s="135"/>
      <c r="B27" s="143"/>
      <c r="C27" s="135"/>
      <c r="D27" s="135"/>
      <c r="E27" s="135"/>
      <c r="F27" s="135"/>
      <c r="G27" s="236">
        <v>40299</v>
      </c>
    </row>
    <row r="28" spans="1:7" s="70" customFormat="1" ht="13.2" customHeight="1" x14ac:dyDescent="0.25">
      <c r="A28" s="130"/>
      <c r="B28" s="713" t="s">
        <v>40</v>
      </c>
      <c r="C28" s="714"/>
      <c r="D28" s="714"/>
      <c r="E28" s="715"/>
      <c r="F28" s="576" t="s">
        <v>41</v>
      </c>
      <c r="G28" s="576"/>
    </row>
    <row r="29" spans="1:7" s="70" customFormat="1" x14ac:dyDescent="0.25">
      <c r="A29" s="130"/>
      <c r="B29" s="716"/>
      <c r="C29" s="717"/>
      <c r="D29" s="717"/>
      <c r="E29" s="718"/>
      <c r="F29" s="576"/>
      <c r="G29" s="576"/>
    </row>
    <row r="30" spans="1:7" s="70" customFormat="1" ht="24.6" customHeight="1" x14ac:dyDescent="0.25">
      <c r="A30" s="129"/>
      <c r="B30" s="273" t="s">
        <v>104</v>
      </c>
      <c r="C30" s="273" t="s">
        <v>359</v>
      </c>
      <c r="D30" s="707" t="s">
        <v>30</v>
      </c>
      <c r="E30" s="707"/>
      <c r="F30" s="707" t="s">
        <v>31</v>
      </c>
      <c r="G30" s="707"/>
    </row>
    <row r="31" spans="1:7" s="70" customFormat="1" x14ac:dyDescent="0.25">
      <c r="A31" s="129"/>
      <c r="B31" s="708" t="s">
        <v>805</v>
      </c>
      <c r="C31" s="709"/>
      <c r="D31" s="709"/>
      <c r="E31" s="709"/>
      <c r="F31" s="709"/>
      <c r="G31" s="710"/>
    </row>
    <row r="32" spans="1:7" s="70" customFormat="1" x14ac:dyDescent="0.25">
      <c r="A32" s="144"/>
      <c r="B32" s="345"/>
      <c r="C32" s="273"/>
      <c r="D32" s="272" t="s">
        <v>120</v>
      </c>
      <c r="E32" s="272" t="s">
        <v>264</v>
      </c>
      <c r="F32" s="272" t="s">
        <v>120</v>
      </c>
      <c r="G32" s="272" t="s">
        <v>264</v>
      </c>
    </row>
    <row r="33" spans="1:7" s="70" customFormat="1" x14ac:dyDescent="0.25">
      <c r="A33" s="342"/>
      <c r="B33" s="347">
        <v>63</v>
      </c>
      <c r="C33" s="349">
        <v>16950</v>
      </c>
      <c r="D33" s="344">
        <f>1131793.15*1.1</f>
        <v>1244972.4650000001</v>
      </c>
      <c r="E33" s="344">
        <v>0</v>
      </c>
      <c r="F33" s="344">
        <f>D33/$C33*1000</f>
        <v>73449.702949852508</v>
      </c>
      <c r="G33" s="344">
        <f>E33/$C33*1000</f>
        <v>0</v>
      </c>
    </row>
  </sheetData>
  <mergeCells count="19">
    <mergeCell ref="B31:G31"/>
    <mergeCell ref="B1:G1"/>
    <mergeCell ref="B2:G2"/>
    <mergeCell ref="B17:E18"/>
    <mergeCell ref="F17:G18"/>
    <mergeCell ref="B6:E7"/>
    <mergeCell ref="F6:G7"/>
    <mergeCell ref="B8:B9"/>
    <mergeCell ref="C8:C9"/>
    <mergeCell ref="D8:E8"/>
    <mergeCell ref="F8:G8"/>
    <mergeCell ref="B28:E29"/>
    <mergeCell ref="F28:G29"/>
    <mergeCell ref="D30:E30"/>
    <mergeCell ref="F30:G30"/>
    <mergeCell ref="B19:B20"/>
    <mergeCell ref="C19:C20"/>
    <mergeCell ref="D19:E19"/>
    <mergeCell ref="F19:G19"/>
  </mergeCells>
  <phoneticPr fontId="26" type="noConversion"/>
  <hyperlinks>
    <hyperlink ref="H2" location="'3'!A1" display="Оглавление"/>
  </hyperlinks>
  <printOptions horizontalCentered="1"/>
  <pageMargins left="0.78740157480314965" right="0.78740157480314965" top="0.98425196850393704" bottom="0.98425196850393704" header="0.39370078740157483" footer="0.51181102362204722"/>
  <pageSetup paperSize="9" scale="90" orientation="portrait" r:id="rId1"/>
  <headerFooter alignWithMargins="0">
    <oddHeader>&amp;C&amp;A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H60"/>
  <sheetViews>
    <sheetView view="pageBreakPreview" topLeftCell="A11" zoomScale="85" zoomScaleNormal="75" workbookViewId="0">
      <selection activeCell="B43" sqref="B43:G43"/>
    </sheetView>
  </sheetViews>
  <sheetFormatPr defaultColWidth="8.88671875" defaultRowHeight="13.2" x14ac:dyDescent="0.25"/>
  <cols>
    <col min="1" max="1" width="9.109375" style="24" customWidth="1"/>
    <col min="2" max="2" width="14.6640625" style="135" customWidth="1"/>
    <col min="3" max="3" width="21.44140625" style="135" customWidth="1"/>
    <col min="4" max="4" width="13.33203125" style="135" customWidth="1"/>
    <col min="5" max="5" width="14.33203125" style="135" customWidth="1"/>
    <col min="6" max="6" width="11.6640625" style="135" customWidth="1"/>
    <col min="7" max="7" width="14.5546875" style="135" customWidth="1"/>
    <col min="8" max="16384" width="8.88671875" style="135"/>
  </cols>
  <sheetData>
    <row r="1" spans="2:8" ht="20.399999999999999" x14ac:dyDescent="0.35">
      <c r="B1" s="711" t="s">
        <v>75</v>
      </c>
      <c r="C1" s="711"/>
      <c r="D1" s="711"/>
      <c r="E1" s="711"/>
      <c r="F1" s="711"/>
      <c r="G1" s="711"/>
    </row>
    <row r="2" spans="2:8" ht="34.200000000000003" customHeight="1" x14ac:dyDescent="0.25">
      <c r="B2" s="712" t="s">
        <v>27</v>
      </c>
      <c r="C2" s="712"/>
      <c r="D2" s="712"/>
      <c r="E2" s="712"/>
      <c r="F2" s="712"/>
      <c r="G2" s="712"/>
      <c r="H2" s="54" t="s">
        <v>466</v>
      </c>
    </row>
    <row r="3" spans="2:8" ht="17.399999999999999" x14ac:dyDescent="0.25">
      <c r="B3" s="164"/>
      <c r="C3" s="164"/>
      <c r="D3" s="164"/>
      <c r="E3" s="164"/>
      <c r="F3" s="164"/>
      <c r="G3" s="164"/>
      <c r="H3" s="54"/>
    </row>
    <row r="4" spans="2:8" ht="15" x14ac:dyDescent="0.25">
      <c r="B4" s="127"/>
      <c r="G4" s="140">
        <v>40299</v>
      </c>
    </row>
    <row r="5" spans="2:8" ht="13.2" customHeight="1" x14ac:dyDescent="0.25">
      <c r="B5" s="713" t="s">
        <v>28</v>
      </c>
      <c r="C5" s="714"/>
      <c r="D5" s="714"/>
      <c r="E5" s="715"/>
      <c r="F5" s="576" t="s">
        <v>29</v>
      </c>
      <c r="G5" s="576"/>
    </row>
    <row r="6" spans="2:8" x14ac:dyDescent="0.25">
      <c r="B6" s="716"/>
      <c r="C6" s="717"/>
      <c r="D6" s="717"/>
      <c r="E6" s="718"/>
      <c r="F6" s="576"/>
      <c r="G6" s="576"/>
    </row>
    <row r="7" spans="2:8" ht="28.2" customHeight="1" x14ac:dyDescent="0.25">
      <c r="B7" s="707" t="s">
        <v>104</v>
      </c>
      <c r="C7" s="707" t="s">
        <v>359</v>
      </c>
      <c r="D7" s="707" t="s">
        <v>30</v>
      </c>
      <c r="E7" s="707"/>
      <c r="F7" s="707" t="s">
        <v>31</v>
      </c>
      <c r="G7" s="707"/>
    </row>
    <row r="8" spans="2:8" x14ac:dyDescent="0.25">
      <c r="B8" s="707"/>
      <c r="C8" s="707"/>
      <c r="D8" s="272" t="s">
        <v>120</v>
      </c>
      <c r="E8" s="272" t="s">
        <v>264</v>
      </c>
      <c r="F8" s="272" t="s">
        <v>120</v>
      </c>
      <c r="G8" s="272" t="s">
        <v>264</v>
      </c>
    </row>
    <row r="9" spans="2:8" x14ac:dyDescent="0.25">
      <c r="B9" s="347">
        <v>30.5</v>
      </c>
      <c r="C9" s="349">
        <v>5249.8</v>
      </c>
      <c r="D9" s="344">
        <f>886090.75*1.03</f>
        <v>912673.47250000003</v>
      </c>
      <c r="E9" s="344">
        <f>1110353.9*1.03</f>
        <v>1143664.517</v>
      </c>
      <c r="F9" s="344">
        <f t="shared" ref="F9:G12" si="0">D9/$C9*1000</f>
        <v>173849.18901672444</v>
      </c>
      <c r="G9" s="344">
        <f t="shared" si="0"/>
        <v>217849.15939654844</v>
      </c>
      <c r="H9" s="74"/>
    </row>
    <row r="10" spans="2:8" x14ac:dyDescent="0.25">
      <c r="B10" s="347">
        <v>32</v>
      </c>
      <c r="C10" s="349">
        <v>5737.1</v>
      </c>
      <c r="D10" s="344">
        <f>958577.83*1.03</f>
        <v>987335.16489999997</v>
      </c>
      <c r="E10" s="344">
        <f>1203064.48*1.03</f>
        <v>1239156.4144000001</v>
      </c>
      <c r="F10" s="344">
        <f t="shared" si="0"/>
        <v>172096.55834829443</v>
      </c>
      <c r="G10" s="344">
        <f t="shared" si="0"/>
        <v>215990.03231597846</v>
      </c>
      <c r="H10" s="74"/>
    </row>
    <row r="11" spans="2:8" x14ac:dyDescent="0.25">
      <c r="B11" s="347">
        <v>34</v>
      </c>
      <c r="C11" s="349">
        <v>6300.6</v>
      </c>
      <c r="D11" s="344">
        <f>1045187.69*1.03</f>
        <v>1076543.3207</v>
      </c>
      <c r="E11" s="344">
        <f>1313232.42*1.03</f>
        <v>1352629.3925999999</v>
      </c>
      <c r="F11" s="344">
        <f t="shared" si="0"/>
        <v>170863.61944894138</v>
      </c>
      <c r="G11" s="344">
        <f t="shared" si="0"/>
        <v>214682.63222550231</v>
      </c>
      <c r="H11" s="74"/>
    </row>
    <row r="12" spans="2:8" x14ac:dyDescent="0.25">
      <c r="B12" s="347">
        <v>35.5</v>
      </c>
      <c r="C12" s="349">
        <v>6810.3</v>
      </c>
      <c r="D12" s="344">
        <f>1126756.95*1.03</f>
        <v>1160559.6584999999</v>
      </c>
      <c r="E12" s="344">
        <f>1416682.29*1.03</f>
        <v>1459182.7587000001</v>
      </c>
      <c r="F12" s="344">
        <f t="shared" si="0"/>
        <v>170412.41332980926</v>
      </c>
      <c r="G12" s="344">
        <f t="shared" si="0"/>
        <v>214261.1571736928</v>
      </c>
      <c r="H12" s="74"/>
    </row>
    <row r="13" spans="2:8" x14ac:dyDescent="0.25">
      <c r="B13" s="141"/>
      <c r="C13" s="142"/>
      <c r="D13" s="142"/>
      <c r="E13" s="142"/>
      <c r="F13" s="142"/>
      <c r="G13" s="142"/>
      <c r="H13" s="74"/>
    </row>
    <row r="14" spans="2:8" x14ac:dyDescent="0.25">
      <c r="B14" s="141"/>
      <c r="C14" s="142"/>
      <c r="D14" s="142"/>
      <c r="E14" s="142"/>
      <c r="F14" s="142"/>
      <c r="G14" s="29"/>
      <c r="H14" s="74"/>
    </row>
    <row r="15" spans="2:8" ht="13.2" customHeight="1" x14ac:dyDescent="0.25">
      <c r="B15" s="713" t="s">
        <v>32</v>
      </c>
      <c r="C15" s="714"/>
      <c r="D15" s="714"/>
      <c r="E15" s="715"/>
      <c r="F15" s="576" t="s">
        <v>33</v>
      </c>
      <c r="G15" s="576"/>
      <c r="H15" s="74"/>
    </row>
    <row r="16" spans="2:8" x14ac:dyDescent="0.25">
      <c r="B16" s="716"/>
      <c r="C16" s="717"/>
      <c r="D16" s="717"/>
      <c r="E16" s="718"/>
      <c r="F16" s="576"/>
      <c r="G16" s="576"/>
      <c r="H16" s="74"/>
    </row>
    <row r="17" spans="2:8" ht="26.4" customHeight="1" x14ac:dyDescent="0.25">
      <c r="B17" s="707" t="s">
        <v>104</v>
      </c>
      <c r="C17" s="707" t="s">
        <v>359</v>
      </c>
      <c r="D17" s="707" t="s">
        <v>30</v>
      </c>
      <c r="E17" s="707"/>
      <c r="F17" s="707" t="s">
        <v>31</v>
      </c>
      <c r="G17" s="707"/>
      <c r="H17" s="74"/>
    </row>
    <row r="18" spans="2:8" x14ac:dyDescent="0.25">
      <c r="B18" s="707"/>
      <c r="C18" s="707"/>
      <c r="D18" s="272" t="s">
        <v>120</v>
      </c>
      <c r="E18" s="272" t="s">
        <v>264</v>
      </c>
      <c r="F18" s="272" t="s">
        <v>120</v>
      </c>
      <c r="G18" s="272" t="s">
        <v>264</v>
      </c>
      <c r="H18" s="74"/>
    </row>
    <row r="19" spans="2:8" x14ac:dyDescent="0.25">
      <c r="B19" s="347">
        <v>40.5</v>
      </c>
      <c r="C19" s="349">
        <v>9318.9</v>
      </c>
      <c r="D19" s="344">
        <f>1762168.4*1.03</f>
        <v>1815033.452</v>
      </c>
      <c r="E19" s="344">
        <f>2171706.81*1.03</f>
        <v>2236858.0142999999</v>
      </c>
      <c r="F19" s="344">
        <f t="shared" ref="F19:F24" si="1">D19/$C19*1000</f>
        <v>194769.0663061091</v>
      </c>
      <c r="G19" s="344">
        <f t="shared" ref="G19:G24" si="2">E19/$C19*1000</f>
        <v>240034.55496893413</v>
      </c>
      <c r="H19" s="74"/>
    </row>
    <row r="20" spans="2:8" x14ac:dyDescent="0.25">
      <c r="B20" s="347">
        <v>42.5</v>
      </c>
      <c r="C20" s="349">
        <v>10384</v>
      </c>
      <c r="D20" s="344">
        <f>1946184.55*1.03</f>
        <v>2004570.0865000002</v>
      </c>
      <c r="E20" s="344">
        <f>2401481.7*1.03</f>
        <v>2473526.1510000001</v>
      </c>
      <c r="F20" s="344">
        <f t="shared" si="1"/>
        <v>193044.11464753468</v>
      </c>
      <c r="G20" s="344">
        <f t="shared" si="2"/>
        <v>238205.52301617875</v>
      </c>
      <c r="H20" s="74"/>
    </row>
    <row r="21" spans="2:8" x14ac:dyDescent="0.25">
      <c r="B21" s="347">
        <v>45</v>
      </c>
      <c r="C21" s="349">
        <v>11427.2</v>
      </c>
      <c r="D21" s="344">
        <f>2115357.03*1.03</f>
        <v>2178817.7408999996</v>
      </c>
      <c r="E21" s="344">
        <f>2614798.52*1.03</f>
        <v>2693242.4756</v>
      </c>
      <c r="F21" s="344">
        <f t="shared" si="1"/>
        <v>190669.43266066923</v>
      </c>
      <c r="G21" s="344">
        <f t="shared" si="2"/>
        <v>235686.99905488658</v>
      </c>
      <c r="H21" s="74"/>
    </row>
    <row r="22" spans="2:8" x14ac:dyDescent="0.25">
      <c r="B22" s="347">
        <v>47</v>
      </c>
      <c r="C22" s="349">
        <v>12645.6</v>
      </c>
      <c r="D22" s="344">
        <f>2332733.14*1.03</f>
        <v>2402715.1342000002</v>
      </c>
      <c r="E22" s="344">
        <f>2884929.99*1.03</f>
        <v>2971477.8897000002</v>
      </c>
      <c r="F22" s="344">
        <f t="shared" si="1"/>
        <v>190004.04363573101</v>
      </c>
      <c r="G22" s="344">
        <f t="shared" si="2"/>
        <v>234981.1705019928</v>
      </c>
      <c r="H22" s="74"/>
    </row>
    <row r="23" spans="2:8" x14ac:dyDescent="0.25">
      <c r="B23" s="347">
        <v>51</v>
      </c>
      <c r="C23" s="349">
        <v>14635.3</v>
      </c>
      <c r="D23" s="344">
        <f>2666111.29*1.03</f>
        <v>2746094.6287000002</v>
      </c>
      <c r="E23" s="344">
        <f>3303154*1.03</f>
        <v>3402248.62</v>
      </c>
      <c r="F23" s="344">
        <f t="shared" si="1"/>
        <v>187635.00773472362</v>
      </c>
      <c r="G23" s="344">
        <f t="shared" si="2"/>
        <v>232468.66275375293</v>
      </c>
      <c r="H23" s="74"/>
    </row>
    <row r="24" spans="2:8" x14ac:dyDescent="0.25">
      <c r="B24" s="347">
        <v>54</v>
      </c>
      <c r="C24" s="349">
        <v>16679.099999999999</v>
      </c>
      <c r="D24" s="344">
        <f>3028671.59*1.03</f>
        <v>3119531.7376999999</v>
      </c>
      <c r="E24" s="344">
        <f>3754089.48*1.03</f>
        <v>3866712.1644000001</v>
      </c>
      <c r="F24" s="344">
        <f t="shared" si="1"/>
        <v>187032.37810793149</v>
      </c>
      <c r="G24" s="344">
        <f t="shared" si="2"/>
        <v>231829.78484450604</v>
      </c>
      <c r="H24" s="74"/>
    </row>
    <row r="25" spans="2:8" x14ac:dyDescent="0.25">
      <c r="B25" s="141"/>
      <c r="C25" s="142"/>
      <c r="D25" s="142"/>
      <c r="E25" s="142"/>
      <c r="F25" s="142"/>
      <c r="G25" s="142"/>
      <c r="H25" s="74"/>
    </row>
    <row r="26" spans="2:8" x14ac:dyDescent="0.25">
      <c r="B26" s="141"/>
      <c r="C26" s="142"/>
      <c r="D26" s="142"/>
      <c r="E26" s="142"/>
      <c r="F26" s="142"/>
      <c r="G26" s="142"/>
      <c r="H26" s="74"/>
    </row>
    <row r="27" spans="2:8" x14ac:dyDescent="0.25">
      <c r="B27" s="713" t="s">
        <v>34</v>
      </c>
      <c r="C27" s="714"/>
      <c r="D27" s="714"/>
      <c r="E27" s="715"/>
      <c r="F27" s="576" t="s">
        <v>35</v>
      </c>
      <c r="G27" s="576"/>
      <c r="H27" s="74"/>
    </row>
    <row r="28" spans="2:8" ht="13.2" customHeight="1" x14ac:dyDescent="0.25">
      <c r="B28" s="716"/>
      <c r="C28" s="717"/>
      <c r="D28" s="717"/>
      <c r="E28" s="718"/>
      <c r="F28" s="576"/>
      <c r="G28" s="576"/>
      <c r="H28" s="74"/>
    </row>
    <row r="29" spans="2:8" x14ac:dyDescent="0.25">
      <c r="B29" s="707" t="s">
        <v>104</v>
      </c>
      <c r="C29" s="707" t="s">
        <v>359</v>
      </c>
      <c r="D29" s="707" t="s">
        <v>30</v>
      </c>
      <c r="E29" s="707"/>
      <c r="F29" s="707" t="s">
        <v>31</v>
      </c>
      <c r="G29" s="707"/>
      <c r="H29" s="74"/>
    </row>
    <row r="30" spans="2:8" ht="27" customHeight="1" x14ac:dyDescent="0.25">
      <c r="B30" s="707"/>
      <c r="C30" s="707"/>
      <c r="D30" s="272" t="s">
        <v>120</v>
      </c>
      <c r="E30" s="272" t="s">
        <v>264</v>
      </c>
      <c r="F30" s="272" t="s">
        <v>120</v>
      </c>
      <c r="G30" s="272" t="s">
        <v>264</v>
      </c>
      <c r="H30" s="74"/>
    </row>
    <row r="31" spans="2:8" x14ac:dyDescent="0.25">
      <c r="B31" s="347">
        <v>38.5</v>
      </c>
      <c r="C31" s="349">
        <v>8692</v>
      </c>
      <c r="D31" s="344">
        <f>1575978.2*1.03</f>
        <v>1623257.5460000001</v>
      </c>
      <c r="E31" s="344">
        <f>1953869.14*1.03</f>
        <v>2012485.2142</v>
      </c>
      <c r="F31" s="344">
        <f t="shared" ref="F31:F36" si="3">D31/$C31*1000</f>
        <v>186753.05407271054</v>
      </c>
      <c r="G31" s="344">
        <f t="shared" ref="G31:G36" si="4">E31/$C31*1000</f>
        <v>231533.04351127474</v>
      </c>
      <c r="H31" s="74"/>
    </row>
    <row r="32" spans="2:8" x14ac:dyDescent="0.25">
      <c r="B32" s="347">
        <v>40.5</v>
      </c>
      <c r="C32" s="349">
        <v>9648.1</v>
      </c>
      <c r="D32" s="344">
        <f>1733639.03*1.03</f>
        <v>1785648.2009000001</v>
      </c>
      <c r="E32" s="344">
        <f>2152154.57*1.03</f>
        <v>2216719.2070999998</v>
      </c>
      <c r="F32" s="344">
        <f t="shared" si="3"/>
        <v>185077.70451176915</v>
      </c>
      <c r="G32" s="344">
        <f t="shared" si="4"/>
        <v>229757.07207636733</v>
      </c>
      <c r="H32" s="74"/>
    </row>
    <row r="33" spans="2:8" x14ac:dyDescent="0.25">
      <c r="B33" s="347">
        <v>42.5</v>
      </c>
      <c r="C33" s="349">
        <v>10468.4</v>
      </c>
      <c r="D33" s="344">
        <f>1864325.8*1.03</f>
        <v>1920255.574</v>
      </c>
      <c r="E33" s="344">
        <f>2317409.49*1.03</f>
        <v>2386931.7747000004</v>
      </c>
      <c r="F33" s="344">
        <f t="shared" si="3"/>
        <v>183433.53081655269</v>
      </c>
      <c r="G33" s="344">
        <f t="shared" si="4"/>
        <v>228013.04637766999</v>
      </c>
      <c r="H33" s="74"/>
    </row>
    <row r="34" spans="2:8" x14ac:dyDescent="0.25">
      <c r="B34" s="347">
        <v>45</v>
      </c>
      <c r="C34" s="349">
        <v>11620.1</v>
      </c>
      <c r="D34" s="344">
        <f>2044186.86*1.03</f>
        <v>2105512.4658000004</v>
      </c>
      <c r="E34" s="344">
        <f>2545589.14*1.03</f>
        <v>2621956.8142000004</v>
      </c>
      <c r="F34" s="344">
        <f t="shared" si="3"/>
        <v>181195.72686982041</v>
      </c>
      <c r="G34" s="344">
        <f t="shared" si="4"/>
        <v>225639.78056987462</v>
      </c>
      <c r="H34" s="74"/>
    </row>
    <row r="35" spans="2:8" x14ac:dyDescent="0.25">
      <c r="B35" s="347">
        <v>47</v>
      </c>
      <c r="C35" s="349">
        <v>12625.8</v>
      </c>
      <c r="D35" s="344">
        <f>2213416.11*1.03</f>
        <v>2279818.5932999998</v>
      </c>
      <c r="E35" s="344">
        <f>2757750.16*1.03</f>
        <v>2840482.6648000004</v>
      </c>
      <c r="F35" s="344">
        <f t="shared" si="3"/>
        <v>180568.24860998907</v>
      </c>
      <c r="G35" s="344">
        <f t="shared" si="4"/>
        <v>224974.47011674513</v>
      </c>
      <c r="H35" s="74"/>
    </row>
    <row r="36" spans="2:8" x14ac:dyDescent="0.25">
      <c r="B36" s="347">
        <v>51</v>
      </c>
      <c r="C36" s="349">
        <v>14557</v>
      </c>
      <c r="D36" s="344">
        <f>2519928.06*1.03</f>
        <v>2595525.9018000001</v>
      </c>
      <c r="E36" s="344">
        <f>3145586.34*1.03</f>
        <v>3239953.9301999998</v>
      </c>
      <c r="F36" s="344">
        <f t="shared" si="3"/>
        <v>178300.87942570585</v>
      </c>
      <c r="G36" s="344">
        <f t="shared" si="4"/>
        <v>222570.16763069315</v>
      </c>
      <c r="H36" s="74"/>
    </row>
    <row r="37" spans="2:8" x14ac:dyDescent="0.25">
      <c r="B37" s="141"/>
      <c r="C37" s="142"/>
      <c r="D37" s="142"/>
      <c r="E37" s="142"/>
      <c r="F37" s="142"/>
      <c r="G37" s="142"/>
      <c r="H37" s="74"/>
    </row>
    <row r="38" spans="2:8" x14ac:dyDescent="0.25">
      <c r="B38" s="141"/>
      <c r="C38" s="142"/>
      <c r="D38" s="142"/>
      <c r="E38" s="142"/>
      <c r="F38" s="142"/>
      <c r="G38" s="142"/>
      <c r="H38" s="74"/>
    </row>
    <row r="39" spans="2:8" x14ac:dyDescent="0.25">
      <c r="B39" s="713" t="s">
        <v>36</v>
      </c>
      <c r="C39" s="714"/>
      <c r="D39" s="714"/>
      <c r="E39" s="715"/>
      <c r="F39" s="576" t="s">
        <v>37</v>
      </c>
      <c r="G39" s="576"/>
      <c r="H39" s="74"/>
    </row>
    <row r="40" spans="2:8" ht="13.2" customHeight="1" x14ac:dyDescent="0.25">
      <c r="B40" s="716"/>
      <c r="C40" s="717"/>
      <c r="D40" s="717"/>
      <c r="E40" s="718"/>
      <c r="F40" s="576"/>
      <c r="G40" s="576"/>
      <c r="H40" s="74"/>
    </row>
    <row r="41" spans="2:8" x14ac:dyDescent="0.25">
      <c r="B41" s="707" t="s">
        <v>104</v>
      </c>
      <c r="C41" s="707" t="s">
        <v>359</v>
      </c>
      <c r="D41" s="707" t="s">
        <v>30</v>
      </c>
      <c r="E41" s="707"/>
      <c r="F41" s="707" t="s">
        <v>31</v>
      </c>
      <c r="G41" s="707"/>
      <c r="H41" s="74"/>
    </row>
    <row r="42" spans="2:8" ht="26.4" customHeight="1" x14ac:dyDescent="0.25">
      <c r="B42" s="707"/>
      <c r="C42" s="707"/>
      <c r="D42" s="272" t="s">
        <v>120</v>
      </c>
      <c r="E42" s="272" t="s">
        <v>264</v>
      </c>
      <c r="F42" s="272" t="s">
        <v>120</v>
      </c>
      <c r="G42" s="272" t="s">
        <v>264</v>
      </c>
      <c r="H42" s="74"/>
    </row>
    <row r="43" spans="2:8" x14ac:dyDescent="0.25">
      <c r="B43" s="347">
        <v>52</v>
      </c>
      <c r="C43" s="349">
        <v>15828.3</v>
      </c>
      <c r="D43" s="344">
        <f>2830424.81*1.03</f>
        <v>2915337.5543</v>
      </c>
      <c r="E43" s="344">
        <f>3449302.45*1.03</f>
        <v>3552781.5235000001</v>
      </c>
      <c r="F43" s="344">
        <f t="shared" ref="F43:F48" si="5">D43/$C43*1000</f>
        <v>184185.13386150124</v>
      </c>
      <c r="G43" s="344">
        <f t="shared" ref="G43:G48" si="6">E43/$C43*1000</f>
        <v>224457.55535970384</v>
      </c>
      <c r="H43" s="74"/>
    </row>
    <row r="44" spans="2:8" x14ac:dyDescent="0.25">
      <c r="B44" s="347">
        <v>54</v>
      </c>
      <c r="C44" s="349">
        <v>17043.7</v>
      </c>
      <c r="D44" s="344">
        <f>3076387.05*1.03</f>
        <v>3168678.6614999999</v>
      </c>
      <c r="E44" s="344">
        <f>3816544.67*1.03</f>
        <v>3931041.0101000001</v>
      </c>
      <c r="F44" s="344">
        <f t="shared" si="5"/>
        <v>185914.95165369019</v>
      </c>
      <c r="G44" s="344">
        <f t="shared" si="6"/>
        <v>230644.81363201651</v>
      </c>
      <c r="H44" s="74"/>
    </row>
    <row r="45" spans="2:8" x14ac:dyDescent="0.25">
      <c r="B45" s="347">
        <v>55</v>
      </c>
      <c r="C45" s="349">
        <v>17280.599999999999</v>
      </c>
      <c r="D45" s="344">
        <f>3110638.19*1.03</f>
        <v>3203957.3357000002</v>
      </c>
      <c r="E45" s="344">
        <f>3860567.3*1.03</f>
        <v>3976384.3190000001</v>
      </c>
      <c r="F45" s="344">
        <f t="shared" si="5"/>
        <v>185407.75989838317</v>
      </c>
      <c r="G45" s="344">
        <f t="shared" si="6"/>
        <v>230106.84345450971</v>
      </c>
      <c r="H45" s="74"/>
    </row>
    <row r="46" spans="2:8" x14ac:dyDescent="0.25">
      <c r="B46" s="347">
        <v>60</v>
      </c>
      <c r="C46" s="349">
        <v>20636</v>
      </c>
      <c r="D46" s="344">
        <f>3662431.22*1.03</f>
        <v>3772304.1566000003</v>
      </c>
      <c r="E46" s="344">
        <f>4554822.16*1.03</f>
        <v>4691466.8248000005</v>
      </c>
      <c r="F46" s="344">
        <f t="shared" si="5"/>
        <v>182802.1010176391</v>
      </c>
      <c r="G46" s="344">
        <f t="shared" si="6"/>
        <v>227343.80814111265</v>
      </c>
      <c r="H46" s="74"/>
    </row>
    <row r="47" spans="2:8" x14ac:dyDescent="0.25">
      <c r="B47" s="347">
        <v>65</v>
      </c>
      <c r="C47" s="349">
        <v>23673.1</v>
      </c>
      <c r="D47" s="344">
        <f>4166798.28*1.03</f>
        <v>4291802.2283999994</v>
      </c>
      <c r="E47" s="344">
        <f>5188427.78*1.03</f>
        <v>5344080.6134000001</v>
      </c>
      <c r="F47" s="344">
        <f t="shared" si="5"/>
        <v>181294.47467378585</v>
      </c>
      <c r="G47" s="344">
        <f t="shared" si="6"/>
        <v>225744.85865391523</v>
      </c>
      <c r="H47" s="74"/>
    </row>
    <row r="48" spans="2:8" x14ac:dyDescent="0.25">
      <c r="B48" s="347">
        <v>70</v>
      </c>
      <c r="C48" s="349">
        <v>27671.200000000001</v>
      </c>
      <c r="D48" s="344">
        <f>4794234.45*1.03</f>
        <v>4938061.4835000001</v>
      </c>
      <c r="E48" s="344">
        <f>5983784.8*1.03</f>
        <v>6163298.3439999996</v>
      </c>
      <c r="F48" s="344">
        <f t="shared" si="5"/>
        <v>178454.90920162477</v>
      </c>
      <c r="G48" s="344">
        <f t="shared" si="6"/>
        <v>222733.32359998842</v>
      </c>
      <c r="H48" s="74"/>
    </row>
    <row r="49" spans="2:8" x14ac:dyDescent="0.25">
      <c r="B49" s="141"/>
      <c r="C49" s="142"/>
      <c r="D49" s="142"/>
      <c r="E49" s="142"/>
      <c r="F49" s="142"/>
      <c r="G49" s="142"/>
      <c r="H49" s="74"/>
    </row>
    <row r="50" spans="2:8" x14ac:dyDescent="0.25">
      <c r="B50" s="141"/>
      <c r="C50" s="142"/>
      <c r="D50" s="142"/>
      <c r="E50" s="142"/>
      <c r="F50" s="142"/>
      <c r="G50" s="142"/>
      <c r="H50" s="74"/>
    </row>
    <row r="51" spans="2:8" x14ac:dyDescent="0.25">
      <c r="B51" s="713" t="s">
        <v>38</v>
      </c>
      <c r="C51" s="714"/>
      <c r="D51" s="714"/>
      <c r="E51" s="715"/>
      <c r="F51" s="576" t="s">
        <v>39</v>
      </c>
      <c r="G51" s="576"/>
      <c r="H51" s="74"/>
    </row>
    <row r="52" spans="2:8" x14ac:dyDescent="0.25">
      <c r="B52" s="716"/>
      <c r="C52" s="717"/>
      <c r="D52" s="717"/>
      <c r="E52" s="718"/>
      <c r="F52" s="576"/>
      <c r="G52" s="576"/>
    </row>
    <row r="53" spans="2:8" ht="13.2" customHeight="1" x14ac:dyDescent="0.25">
      <c r="B53" s="707" t="s">
        <v>104</v>
      </c>
      <c r="C53" s="707" t="s">
        <v>359</v>
      </c>
      <c r="D53" s="707" t="s">
        <v>30</v>
      </c>
      <c r="E53" s="707"/>
      <c r="F53" s="707" t="s">
        <v>31</v>
      </c>
      <c r="G53" s="707"/>
    </row>
    <row r="54" spans="2:8" x14ac:dyDescent="0.25">
      <c r="B54" s="707"/>
      <c r="C54" s="707"/>
      <c r="D54" s="272" t="s">
        <v>120</v>
      </c>
      <c r="E54" s="272" t="s">
        <v>264</v>
      </c>
      <c r="F54" s="272" t="s">
        <v>120</v>
      </c>
      <c r="G54" s="272" t="s">
        <v>264</v>
      </c>
    </row>
    <row r="55" spans="2:8" ht="25.2" customHeight="1" x14ac:dyDescent="0.25">
      <c r="B55" s="347">
        <v>32</v>
      </c>
      <c r="C55" s="349">
        <v>6057</v>
      </c>
      <c r="D55" s="344">
        <v>0</v>
      </c>
      <c r="E55" s="344">
        <f>1654252.79*1.03</f>
        <v>1703880.3737000001</v>
      </c>
      <c r="F55" s="344">
        <f t="shared" ref="F55:G59" si="7">D55/$C55*1000</f>
        <v>0</v>
      </c>
      <c r="G55" s="344">
        <f t="shared" si="7"/>
        <v>281307.63970612513</v>
      </c>
    </row>
    <row r="56" spans="2:8" x14ac:dyDescent="0.25">
      <c r="B56" s="347">
        <v>52</v>
      </c>
      <c r="C56" s="349">
        <v>16848</v>
      </c>
      <c r="D56" s="344">
        <v>0</v>
      </c>
      <c r="E56" s="344">
        <f>4889870.92*1.03</f>
        <v>5036567.0476000002</v>
      </c>
      <c r="F56" s="344">
        <f t="shared" si="7"/>
        <v>0</v>
      </c>
      <c r="G56" s="344">
        <f t="shared" si="7"/>
        <v>298941.53891263058</v>
      </c>
    </row>
    <row r="57" spans="2:8" x14ac:dyDescent="0.25">
      <c r="B57" s="347">
        <v>62</v>
      </c>
      <c r="C57" s="349">
        <v>23850</v>
      </c>
      <c r="D57" s="344">
        <v>0</v>
      </c>
      <c r="E57" s="344">
        <f>6992621.18*1.03</f>
        <v>7202399.8153999997</v>
      </c>
      <c r="F57" s="344">
        <f t="shared" si="7"/>
        <v>0</v>
      </c>
      <c r="G57" s="344">
        <f t="shared" si="7"/>
        <v>301987.41364360589</v>
      </c>
    </row>
    <row r="58" spans="2:8" x14ac:dyDescent="0.25">
      <c r="B58" s="347">
        <v>72</v>
      </c>
      <c r="C58" s="349">
        <v>32088</v>
      </c>
      <c r="D58" s="344">
        <v>0</v>
      </c>
      <c r="E58" s="344">
        <f>9498696.5*1.03</f>
        <v>9783657.3949999996</v>
      </c>
      <c r="F58" s="344">
        <f t="shared" si="7"/>
        <v>0</v>
      </c>
      <c r="G58" s="344">
        <f t="shared" si="7"/>
        <v>304900.81634879077</v>
      </c>
    </row>
    <row r="59" spans="2:8" x14ac:dyDescent="0.25">
      <c r="B59" s="347">
        <v>90</v>
      </c>
      <c r="C59" s="349">
        <v>47540</v>
      </c>
      <c r="D59" s="344">
        <v>0</v>
      </c>
      <c r="E59" s="344">
        <f>15683325.14*1.03</f>
        <v>16153824.894200001</v>
      </c>
      <c r="F59" s="344">
        <f t="shared" si="7"/>
        <v>0</v>
      </c>
      <c r="G59" s="344">
        <f t="shared" si="7"/>
        <v>339794.38145140937</v>
      </c>
    </row>
    <row r="60" spans="2:8" x14ac:dyDescent="0.25">
      <c r="B60" s="141"/>
      <c r="C60" s="142"/>
      <c r="D60" s="142"/>
      <c r="E60" s="142"/>
      <c r="F60" s="142"/>
      <c r="G60" s="142"/>
    </row>
  </sheetData>
  <mergeCells count="32">
    <mergeCell ref="B1:G1"/>
    <mergeCell ref="B53:B54"/>
    <mergeCell ref="C53:C54"/>
    <mergeCell ref="D53:E53"/>
    <mergeCell ref="F53:G53"/>
    <mergeCell ref="B51:E52"/>
    <mergeCell ref="F51:G52"/>
    <mergeCell ref="B41:B42"/>
    <mergeCell ref="C41:C42"/>
    <mergeCell ref="D41:E41"/>
    <mergeCell ref="F41:G41"/>
    <mergeCell ref="B39:E40"/>
    <mergeCell ref="F39:G40"/>
    <mergeCell ref="B29:B30"/>
    <mergeCell ref="C29:C30"/>
    <mergeCell ref="D29:E29"/>
    <mergeCell ref="F29:G29"/>
    <mergeCell ref="B27:E28"/>
    <mergeCell ref="F27:G28"/>
    <mergeCell ref="B17:B18"/>
    <mergeCell ref="C17:C18"/>
    <mergeCell ref="D17:E17"/>
    <mergeCell ref="F17:G17"/>
    <mergeCell ref="B2:G2"/>
    <mergeCell ref="B5:E6"/>
    <mergeCell ref="F5:G6"/>
    <mergeCell ref="B15:E16"/>
    <mergeCell ref="F15:G16"/>
    <mergeCell ref="B7:B8"/>
    <mergeCell ref="C7:C8"/>
    <mergeCell ref="D7:E7"/>
    <mergeCell ref="F7:G7"/>
  </mergeCells>
  <phoneticPr fontId="26" type="noConversion"/>
  <hyperlinks>
    <hyperlink ref="H2" location="'3'!A1" display="Оглавление"/>
  </hyperlinks>
  <printOptions horizontalCentered="1"/>
  <pageMargins left="0.78740157480314965" right="0.78740157480314965" top="0.55118110236220474" bottom="0.47244094488188981" header="0.19685039370078741" footer="0.51181102362204722"/>
  <pageSetup paperSize="9" scale="85" orientation="portrait" r:id="rId1"/>
  <headerFooter alignWithMargins="0">
    <oddHeader>&amp;A</oddHeader>
  </headerFooter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L61"/>
  <sheetViews>
    <sheetView view="pageBreakPreview" zoomScale="85" zoomScaleNormal="55" zoomScaleSheetLayoutView="85" workbookViewId="0">
      <selection activeCell="C22" sqref="C22"/>
    </sheetView>
  </sheetViews>
  <sheetFormatPr defaultColWidth="8.88671875" defaultRowHeight="13.2" x14ac:dyDescent="0.25"/>
  <cols>
    <col min="1" max="1" width="11.33203125" style="24" bestFit="1" customWidth="1"/>
    <col min="2" max="2" width="18" style="24" customWidth="1"/>
    <col min="3" max="3" width="11.5546875" style="24" customWidth="1"/>
    <col min="4" max="4" width="13.109375" style="98" customWidth="1"/>
    <col min="5" max="5" width="17.44140625" style="24" customWidth="1"/>
    <col min="6" max="6" width="12.109375" style="24" customWidth="1"/>
    <col min="7" max="7" width="8.88671875" style="24"/>
    <col min="8" max="8" width="15.44140625" style="24" customWidth="1"/>
    <col min="9" max="16384" width="8.88671875" style="24"/>
  </cols>
  <sheetData>
    <row r="1" spans="1:12" x14ac:dyDescent="0.25">
      <c r="C1" s="98"/>
      <c r="D1" s="24"/>
      <c r="E1" s="70"/>
      <c r="F1" s="29">
        <v>41122</v>
      </c>
      <c r="G1" s="54" t="s">
        <v>466</v>
      </c>
    </row>
    <row r="2" spans="1:12" ht="15.6" x14ac:dyDescent="0.25">
      <c r="B2" s="720" t="s">
        <v>436</v>
      </c>
      <c r="C2" s="721"/>
      <c r="D2" s="721"/>
      <c r="E2" s="721"/>
      <c r="F2" s="722"/>
    </row>
    <row r="3" spans="1:12" ht="12" customHeight="1" x14ac:dyDescent="0.25">
      <c r="B3" s="565" t="s">
        <v>437</v>
      </c>
      <c r="C3" s="565" t="s">
        <v>500</v>
      </c>
      <c r="D3" s="565"/>
      <c r="E3" s="565"/>
      <c r="F3" s="565"/>
    </row>
    <row r="4" spans="1:12" s="93" customFormat="1" ht="66" x14ac:dyDescent="0.25">
      <c r="B4" s="565"/>
      <c r="C4" s="350" t="s">
        <v>279</v>
      </c>
      <c r="D4" s="527" t="s">
        <v>438</v>
      </c>
      <c r="E4" s="527" t="s">
        <v>513</v>
      </c>
      <c r="F4" s="527" t="s">
        <v>509</v>
      </c>
    </row>
    <row r="5" spans="1:12" ht="13.2" customHeight="1" x14ac:dyDescent="0.25">
      <c r="A5" s="123"/>
      <c r="B5" s="351" t="s">
        <v>439</v>
      </c>
      <c r="C5" s="352">
        <f>53403.24+700</f>
        <v>54103.24</v>
      </c>
      <c r="D5" s="352">
        <f>56746+700</f>
        <v>57446</v>
      </c>
      <c r="E5" s="352">
        <f>56775.84+700</f>
        <v>57475.839999999997</v>
      </c>
      <c r="F5" s="352">
        <f>51981.25+700</f>
        <v>52681.25</v>
      </c>
      <c r="G5" s="93"/>
      <c r="I5" s="447"/>
      <c r="J5" s="447"/>
      <c r="K5" s="447"/>
      <c r="L5" s="447"/>
    </row>
    <row r="6" spans="1:12" ht="13.2" customHeight="1" x14ac:dyDescent="0.25">
      <c r="B6" s="351" t="s">
        <v>440</v>
      </c>
      <c r="C6" s="352">
        <f>45935.8+700</f>
        <v>46635.8</v>
      </c>
      <c r="D6" s="352">
        <f>49055.9+700</f>
        <v>49755.9</v>
      </c>
      <c r="E6" s="352">
        <f>49087.47+700</f>
        <v>49787.47</v>
      </c>
      <c r="F6" s="352">
        <f>44780.13+700</f>
        <v>45480.13</v>
      </c>
      <c r="G6" s="93"/>
      <c r="I6" s="447"/>
      <c r="J6" s="447"/>
      <c r="K6" s="447"/>
      <c r="L6" s="447"/>
    </row>
    <row r="7" spans="1:12" ht="13.2" customHeight="1" x14ac:dyDescent="0.25">
      <c r="B7" s="351" t="s">
        <v>441</v>
      </c>
      <c r="C7" s="352">
        <f>41709.27+700</f>
        <v>42409.27</v>
      </c>
      <c r="D7" s="352">
        <f>44702.42+700</f>
        <v>45402.42</v>
      </c>
      <c r="E7" s="352">
        <f>44733.23+700</f>
        <v>45433.23</v>
      </c>
      <c r="F7" s="352">
        <f>40635.89+700</f>
        <v>41335.89</v>
      </c>
      <c r="G7" s="93"/>
      <c r="I7" s="447"/>
      <c r="J7" s="447"/>
      <c r="K7" s="447"/>
      <c r="L7" s="447"/>
    </row>
    <row r="8" spans="1:12" ht="13.2" customHeight="1" x14ac:dyDescent="0.25">
      <c r="B8" s="353" t="s">
        <v>442</v>
      </c>
      <c r="C8" s="352">
        <f>40443.36+700</f>
        <v>41143.360000000001</v>
      </c>
      <c r="D8" s="352">
        <f>43396.37+700</f>
        <v>44096.37</v>
      </c>
      <c r="E8" s="352">
        <f>43426.97+700</f>
        <v>44126.97</v>
      </c>
      <c r="F8" s="352">
        <f>39392.01+700</f>
        <v>40092.01</v>
      </c>
      <c r="G8" s="93"/>
      <c r="I8" s="447"/>
      <c r="J8" s="447"/>
      <c r="K8" s="447"/>
      <c r="L8" s="447"/>
    </row>
    <row r="9" spans="1:12" ht="13.2" customHeight="1" x14ac:dyDescent="0.25">
      <c r="B9" s="353" t="s">
        <v>515</v>
      </c>
      <c r="C9" s="352">
        <f>38782.44+700</f>
        <v>39482.44</v>
      </c>
      <c r="D9" s="352">
        <f>41677.23+700</f>
        <v>42377.23</v>
      </c>
      <c r="E9" s="352">
        <f>41707.92+700</f>
        <v>42407.92</v>
      </c>
      <c r="F9" s="352">
        <f>37820.29+700</f>
        <v>38520.29</v>
      </c>
      <c r="G9" s="93"/>
      <c r="I9" s="447"/>
      <c r="J9" s="447"/>
      <c r="K9" s="447"/>
      <c r="L9" s="447"/>
    </row>
    <row r="10" spans="1:12" ht="13.2" customHeight="1" x14ac:dyDescent="0.25">
      <c r="B10" s="353" t="s">
        <v>675</v>
      </c>
      <c r="C10" s="352">
        <f>36315.42+300</f>
        <v>36615.42</v>
      </c>
      <c r="D10" s="352">
        <f>39276.91+300</f>
        <v>39576.910000000003</v>
      </c>
      <c r="E10" s="352">
        <f>39271.97+300</f>
        <v>39571.97</v>
      </c>
      <c r="F10" s="352">
        <f>35401.75+300</f>
        <v>35701.75</v>
      </c>
      <c r="G10" s="93"/>
      <c r="I10" s="447"/>
      <c r="J10" s="447"/>
      <c r="K10" s="447"/>
      <c r="L10" s="447"/>
    </row>
    <row r="11" spans="1:12" ht="13.2" customHeight="1" x14ac:dyDescent="0.25">
      <c r="B11" s="353" t="s">
        <v>676</v>
      </c>
      <c r="C11" s="352">
        <f>34810.15+300</f>
        <v>35110.15</v>
      </c>
      <c r="D11" s="352">
        <f>37724.82+300</f>
        <v>38024.82</v>
      </c>
      <c r="E11" s="352">
        <f>37720.02+300</f>
        <v>38020.019999999997</v>
      </c>
      <c r="F11" s="352">
        <f>33925.72+300</f>
        <v>34225.72</v>
      </c>
      <c r="G11" s="93"/>
      <c r="I11" s="447"/>
      <c r="J11" s="447"/>
      <c r="K11" s="447"/>
      <c r="L11" s="447"/>
    </row>
    <row r="12" spans="1:12" ht="13.2" customHeight="1" x14ac:dyDescent="0.25">
      <c r="B12" s="353" t="s">
        <v>677</v>
      </c>
      <c r="C12" s="352">
        <f>34072.46+300</f>
        <v>34372.46</v>
      </c>
      <c r="D12" s="352">
        <f>37020.33+300</f>
        <v>37320.33</v>
      </c>
      <c r="E12" s="352">
        <f>37003.78+300</f>
        <v>37303.78</v>
      </c>
      <c r="F12" s="352">
        <f>33213.74+300</f>
        <v>33513.74</v>
      </c>
      <c r="G12" s="93"/>
      <c r="I12" s="447"/>
      <c r="J12" s="447"/>
      <c r="K12" s="447"/>
      <c r="L12" s="447"/>
    </row>
    <row r="13" spans="1:12" ht="13.2" customHeight="1" x14ac:dyDescent="0.25">
      <c r="B13" s="353" t="s">
        <v>786</v>
      </c>
      <c r="C13" s="352">
        <f>33666.12+300</f>
        <v>33966.120000000003</v>
      </c>
      <c r="D13" s="352">
        <f>36589.52+300</f>
        <v>36889.519999999997</v>
      </c>
      <c r="E13" s="352">
        <f>36572.92+300</f>
        <v>36872.92</v>
      </c>
      <c r="F13" s="352">
        <f>32804.65+300</f>
        <v>33104.65</v>
      </c>
      <c r="G13" s="93"/>
      <c r="I13" s="447"/>
      <c r="J13" s="447"/>
      <c r="K13" s="447"/>
      <c r="L13" s="447"/>
    </row>
    <row r="14" spans="1:12" x14ac:dyDescent="0.25">
      <c r="B14" s="353" t="s">
        <v>787</v>
      </c>
      <c r="C14" s="352">
        <v>0</v>
      </c>
      <c r="D14" s="352">
        <v>0</v>
      </c>
      <c r="E14" s="352">
        <f>41641.33+300</f>
        <v>41941.33</v>
      </c>
      <c r="F14" s="352">
        <f>36126.94+300</f>
        <v>36426.94</v>
      </c>
      <c r="H14" s="93"/>
      <c r="I14" s="447"/>
      <c r="J14" s="447"/>
      <c r="K14" s="447"/>
      <c r="L14" s="447"/>
    </row>
    <row r="15" spans="1:12" ht="13.2" customHeight="1" x14ac:dyDescent="0.25">
      <c r="B15" s="49"/>
      <c r="C15" s="50"/>
      <c r="D15" s="34"/>
      <c r="E15" s="34"/>
      <c r="H15" s="93"/>
    </row>
    <row r="16" spans="1:12" ht="13.2" customHeight="1" x14ac:dyDescent="0.25">
      <c r="B16" s="34"/>
      <c r="C16" s="33"/>
      <c r="D16" s="34"/>
      <c r="E16" s="34"/>
      <c r="H16" s="93"/>
    </row>
    <row r="17" spans="2:8" ht="15.6" x14ac:dyDescent="0.25">
      <c r="B17" s="723" t="s">
        <v>266</v>
      </c>
      <c r="C17" s="723"/>
      <c r="D17" s="723"/>
      <c r="E17" s="723"/>
      <c r="F17" s="723"/>
      <c r="H17" s="93"/>
    </row>
    <row r="18" spans="2:8" ht="19.2" customHeight="1" x14ac:dyDescent="0.25">
      <c r="B18" s="565" t="s">
        <v>437</v>
      </c>
      <c r="C18" s="565" t="s">
        <v>500</v>
      </c>
      <c r="D18" s="565"/>
      <c r="E18" s="565"/>
      <c r="F18" s="565"/>
      <c r="H18" s="93"/>
    </row>
    <row r="19" spans="2:8" ht="65.400000000000006" customHeight="1" x14ac:dyDescent="0.25">
      <c r="B19" s="565"/>
      <c r="C19" s="350" t="s">
        <v>279</v>
      </c>
      <c r="D19" s="354" t="s">
        <v>438</v>
      </c>
      <c r="E19" s="527" t="s">
        <v>512</v>
      </c>
      <c r="F19" s="527" t="s">
        <v>509</v>
      </c>
    </row>
    <row r="20" spans="2:8" ht="13.2" customHeight="1" x14ac:dyDescent="0.25">
      <c r="B20" s="355" t="s">
        <v>267</v>
      </c>
      <c r="C20" s="352">
        <f>43462.26+300</f>
        <v>43762.26</v>
      </c>
      <c r="D20" s="352">
        <f>45258.6+300</f>
        <v>45558.6</v>
      </c>
      <c r="E20" s="352">
        <f>45535.84+300</f>
        <v>45835.839999999997</v>
      </c>
      <c r="F20" s="352">
        <f>41905.35+300</f>
        <v>42205.35</v>
      </c>
    </row>
    <row r="21" spans="2:8" ht="13.2" customHeight="1" x14ac:dyDescent="0.25">
      <c r="B21" s="355" t="s">
        <v>269</v>
      </c>
      <c r="C21" s="352">
        <f>40476.27+300</f>
        <v>40776.269999999997</v>
      </c>
      <c r="D21" s="352">
        <f>42371.79+300</f>
        <v>42671.79</v>
      </c>
      <c r="E21" s="352">
        <f>43014.91+300</f>
        <v>43314.91</v>
      </c>
      <c r="F21" s="352">
        <f>39094.37+300</f>
        <v>39394.370000000003</v>
      </c>
    </row>
    <row r="22" spans="2:8" ht="13.2" customHeight="1" x14ac:dyDescent="0.25">
      <c r="B22" s="355" t="s">
        <v>187</v>
      </c>
      <c r="C22" s="352">
        <f>38881.21+300</f>
        <v>39181.21</v>
      </c>
      <c r="D22" s="352">
        <f>40775.38+300</f>
        <v>41075.379999999997</v>
      </c>
      <c r="E22" s="352">
        <f>41544.99+300</f>
        <v>41844.99</v>
      </c>
      <c r="F22" s="352">
        <f>37594.58+300</f>
        <v>37894.58</v>
      </c>
    </row>
    <row r="23" spans="2:8" ht="13.2" customHeight="1" x14ac:dyDescent="0.25">
      <c r="B23" s="113"/>
      <c r="C23" s="356"/>
      <c r="D23" s="356"/>
      <c r="E23" s="356"/>
      <c r="F23" s="356"/>
    </row>
    <row r="24" spans="2:8" x14ac:dyDescent="0.25">
      <c r="B24" s="113"/>
      <c r="C24" s="80"/>
      <c r="D24" s="80"/>
      <c r="E24" s="80"/>
      <c r="F24" s="80"/>
    </row>
    <row r="25" spans="2:8" ht="15.6" x14ac:dyDescent="0.3">
      <c r="B25" s="719" t="s">
        <v>486</v>
      </c>
      <c r="C25" s="719"/>
      <c r="D25" s="719"/>
      <c r="E25" s="719"/>
      <c r="F25" s="719"/>
    </row>
    <row r="26" spans="2:8" ht="13.2" customHeight="1" x14ac:dyDescent="0.25">
      <c r="B26" s="355" t="s">
        <v>268</v>
      </c>
      <c r="C26" s="352">
        <f>39797.56+300</f>
        <v>40097.56</v>
      </c>
      <c r="D26" s="352">
        <f>41707.35+300</f>
        <v>42007.35</v>
      </c>
      <c r="E26" s="352">
        <f>42441.84+300</f>
        <v>42741.84</v>
      </c>
      <c r="F26" s="352">
        <v>0</v>
      </c>
    </row>
    <row r="27" spans="2:8" ht="13.2" customHeight="1" x14ac:dyDescent="0.25">
      <c r="B27" s="113"/>
      <c r="C27" s="356"/>
      <c r="D27" s="356"/>
      <c r="E27" s="356"/>
      <c r="F27" s="356"/>
    </row>
    <row r="28" spans="2:8" ht="18" customHeight="1" x14ac:dyDescent="0.25">
      <c r="D28" s="24"/>
    </row>
    <row r="29" spans="2:8" ht="15.6" x14ac:dyDescent="0.3">
      <c r="B29" s="719" t="s">
        <v>487</v>
      </c>
      <c r="C29" s="719"/>
      <c r="D29" s="719"/>
      <c r="E29" s="719"/>
      <c r="F29" s="719"/>
    </row>
    <row r="30" spans="2:8" ht="13.2" customHeight="1" x14ac:dyDescent="0.25">
      <c r="B30" s="355" t="s">
        <v>270</v>
      </c>
      <c r="C30" s="352">
        <f>43944.61+300</f>
        <v>44244.61</v>
      </c>
      <c r="D30" s="352">
        <f>45751.6+300</f>
        <v>46051.6</v>
      </c>
      <c r="E30" s="352">
        <f>46189.73+300</f>
        <v>46489.73</v>
      </c>
      <c r="F30" s="352">
        <f>42572.38+300</f>
        <v>42872.38</v>
      </c>
    </row>
    <row r="31" spans="2:8" ht="13.2" customHeight="1" x14ac:dyDescent="0.25">
      <c r="B31" s="355" t="s">
        <v>271</v>
      </c>
      <c r="C31" s="352">
        <f>40696.36+300</f>
        <v>40996.36</v>
      </c>
      <c r="D31" s="352">
        <f>45001.1+300</f>
        <v>45301.1</v>
      </c>
      <c r="E31" s="352">
        <f>45469.22+300</f>
        <v>45769.22</v>
      </c>
      <c r="F31" s="352">
        <f>41836.39+300</f>
        <v>42136.39</v>
      </c>
    </row>
    <row r="32" spans="2:8" ht="13.2" customHeight="1" x14ac:dyDescent="0.25">
      <c r="B32" s="355" t="s">
        <v>265</v>
      </c>
      <c r="C32" s="352">
        <f>46042.7+300</f>
        <v>46342.7</v>
      </c>
      <c r="D32" s="352">
        <f>47950.48+300</f>
        <v>48250.48</v>
      </c>
      <c r="E32" s="352">
        <f>48444.84+300</f>
        <v>48744.84</v>
      </c>
      <c r="F32" s="352">
        <f>44628.77+300</f>
        <v>44928.77</v>
      </c>
    </row>
    <row r="33" spans="2:6" ht="13.2" customHeight="1" x14ac:dyDescent="0.25">
      <c r="B33" s="355" t="s">
        <v>272</v>
      </c>
      <c r="C33" s="352">
        <f>40543.38+300</f>
        <v>40843.379999999997</v>
      </c>
      <c r="D33" s="352">
        <f>42454.08+300</f>
        <v>42754.080000000002</v>
      </c>
      <c r="E33" s="352">
        <f>43158.65+300</f>
        <v>43458.65</v>
      </c>
      <c r="F33" s="352">
        <f>39238.78+300</f>
        <v>39538.78</v>
      </c>
    </row>
    <row r="34" spans="2:6" ht="13.2" customHeight="1" x14ac:dyDescent="0.25">
      <c r="B34" s="113"/>
      <c r="C34" s="356"/>
      <c r="D34" s="356"/>
      <c r="E34" s="356"/>
      <c r="F34" s="356"/>
    </row>
    <row r="35" spans="2:6" ht="15" customHeight="1" x14ac:dyDescent="0.25">
      <c r="B35" s="113"/>
      <c r="C35" s="80"/>
      <c r="D35" s="80"/>
      <c r="E35" s="80"/>
      <c r="F35" s="80"/>
    </row>
    <row r="36" spans="2:6" ht="15.6" x14ac:dyDescent="0.3">
      <c r="B36" s="719" t="s">
        <v>488</v>
      </c>
      <c r="C36" s="719"/>
      <c r="D36" s="719"/>
      <c r="E36" s="719"/>
      <c r="F36" s="719"/>
    </row>
    <row r="37" spans="2:6" ht="13.2" customHeight="1" x14ac:dyDescent="0.25">
      <c r="B37" s="355" t="s">
        <v>273</v>
      </c>
      <c r="C37" s="352">
        <f>43069.17+300</f>
        <v>43369.17</v>
      </c>
      <c r="D37" s="352">
        <f>43069.17+300</f>
        <v>43369.17</v>
      </c>
      <c r="E37" s="352">
        <f>45789.31+300</f>
        <v>46089.31</v>
      </c>
      <c r="F37" s="352">
        <f>41613.25+300</f>
        <v>41913.25</v>
      </c>
    </row>
    <row r="38" spans="2:6" ht="13.2" customHeight="1" x14ac:dyDescent="0.25">
      <c r="B38" s="401" t="s">
        <v>274</v>
      </c>
      <c r="C38" s="402">
        <f>40324.77+300</f>
        <v>40624.769999999997</v>
      </c>
      <c r="D38" s="402">
        <f>40324.77+300</f>
        <v>40624.769999999997</v>
      </c>
      <c r="E38" s="402">
        <f>43152.28+300</f>
        <v>43452.28</v>
      </c>
      <c r="F38" s="402">
        <f>38923.08+300</f>
        <v>39223.08</v>
      </c>
    </row>
    <row r="39" spans="2:6" ht="13.2" customHeight="1" x14ac:dyDescent="0.25">
      <c r="B39" s="113"/>
      <c r="C39" s="356"/>
      <c r="D39" s="356"/>
      <c r="E39" s="356"/>
      <c r="F39" s="356"/>
    </row>
    <row r="40" spans="2:6" ht="13.2" customHeight="1" x14ac:dyDescent="0.25">
      <c r="B40" s="403"/>
      <c r="C40" s="82"/>
      <c r="D40" s="82"/>
      <c r="E40" s="82"/>
      <c r="F40" s="82"/>
    </row>
    <row r="41" spans="2:6" ht="15.6" x14ac:dyDescent="0.3">
      <c r="B41" s="719" t="s">
        <v>489</v>
      </c>
      <c r="C41" s="719"/>
      <c r="D41" s="719"/>
      <c r="E41" s="719"/>
      <c r="F41" s="719"/>
    </row>
    <row r="42" spans="2:6" ht="13.35" customHeight="1" x14ac:dyDescent="0.25">
      <c r="B42" s="404" t="s">
        <v>702</v>
      </c>
      <c r="C42" s="402">
        <v>0</v>
      </c>
      <c r="D42" s="402">
        <v>0</v>
      </c>
      <c r="E42" s="402">
        <v>0</v>
      </c>
      <c r="F42" s="402">
        <f>57283.34+300</f>
        <v>57583.34</v>
      </c>
    </row>
    <row r="43" spans="2:6" ht="13.2" customHeight="1" x14ac:dyDescent="0.25">
      <c r="B43" s="404" t="s">
        <v>454</v>
      </c>
      <c r="C43" s="402">
        <v>0</v>
      </c>
      <c r="D43" s="402">
        <v>0</v>
      </c>
      <c r="E43" s="402">
        <v>0</v>
      </c>
      <c r="F43" s="402">
        <f>53045.33+300</f>
        <v>53345.33</v>
      </c>
    </row>
    <row r="44" spans="2:6" ht="13.2" customHeight="1" x14ac:dyDescent="0.25">
      <c r="B44" s="401" t="s">
        <v>275</v>
      </c>
      <c r="C44" s="402">
        <v>0</v>
      </c>
      <c r="D44" s="402">
        <f>55732.89+300</f>
        <v>56032.89</v>
      </c>
      <c r="E44" s="402">
        <v>0</v>
      </c>
      <c r="F44" s="402">
        <f>52259.04+300</f>
        <v>52559.040000000001</v>
      </c>
    </row>
    <row r="45" spans="2:6" ht="13.2" customHeight="1" x14ac:dyDescent="0.25">
      <c r="B45" s="403"/>
      <c r="C45" s="405"/>
      <c r="D45" s="405"/>
      <c r="E45" s="405"/>
      <c r="F45" s="405"/>
    </row>
    <row r="46" spans="2:6" ht="13.2" customHeight="1" x14ac:dyDescent="0.25">
      <c r="B46" s="403"/>
      <c r="C46" s="82"/>
      <c r="D46" s="82"/>
      <c r="E46" s="82"/>
      <c r="F46" s="82"/>
    </row>
    <row r="47" spans="2:6" ht="15.6" x14ac:dyDescent="0.3">
      <c r="B47" s="719" t="s">
        <v>81</v>
      </c>
      <c r="C47" s="719"/>
      <c r="D47" s="719"/>
      <c r="E47" s="719"/>
      <c r="F47" s="719"/>
    </row>
    <row r="48" spans="2:6" x14ac:dyDescent="0.25">
      <c r="B48" s="401" t="s">
        <v>442</v>
      </c>
      <c r="C48" s="402">
        <v>0</v>
      </c>
      <c r="D48" s="402">
        <v>0</v>
      </c>
      <c r="E48" s="402">
        <v>0</v>
      </c>
      <c r="F48" s="402">
        <f>43622.14+300</f>
        <v>43922.14</v>
      </c>
    </row>
    <row r="49" spans="2:6" ht="13.2" customHeight="1" x14ac:dyDescent="0.25">
      <c r="B49" s="401" t="s">
        <v>531</v>
      </c>
      <c r="C49" s="402">
        <f>43420.06+300</f>
        <v>43720.06</v>
      </c>
      <c r="D49" s="402">
        <f>45226.86+300</f>
        <v>45526.86</v>
      </c>
      <c r="E49" s="402">
        <v>0</v>
      </c>
      <c r="F49" s="402">
        <f>42051.2+300</f>
        <v>42351.199999999997</v>
      </c>
    </row>
    <row r="50" spans="2:6" ht="13.2" customHeight="1" x14ac:dyDescent="0.25">
      <c r="B50" s="401" t="s">
        <v>532</v>
      </c>
      <c r="C50" s="402">
        <f>46280.77+300</f>
        <v>46580.77</v>
      </c>
      <c r="D50" s="402">
        <f>48188.88+300</f>
        <v>48488.88</v>
      </c>
      <c r="E50" s="402">
        <v>0</v>
      </c>
      <c r="F50" s="402">
        <f>44855.64+300</f>
        <v>45155.64</v>
      </c>
    </row>
    <row r="51" spans="2:6" ht="13.2" customHeight="1" x14ac:dyDescent="0.25">
      <c r="B51" s="403"/>
      <c r="C51" s="405"/>
      <c r="D51" s="405"/>
      <c r="E51" s="405"/>
      <c r="F51" s="405"/>
    </row>
    <row r="52" spans="2:6" ht="13.2" customHeight="1" x14ac:dyDescent="0.25">
      <c r="B52" s="403"/>
      <c r="C52" s="405"/>
      <c r="D52" s="405"/>
      <c r="E52" s="405"/>
      <c r="F52" s="405"/>
    </row>
    <row r="53" spans="2:6" ht="13.2" customHeight="1" x14ac:dyDescent="0.3">
      <c r="B53" s="719" t="s">
        <v>817</v>
      </c>
      <c r="C53" s="719"/>
      <c r="D53" s="719"/>
      <c r="E53" s="719"/>
      <c r="F53" s="719"/>
    </row>
    <row r="54" spans="2:6" ht="13.2" customHeight="1" x14ac:dyDescent="0.25">
      <c r="B54" s="401" t="s">
        <v>816</v>
      </c>
      <c r="C54" s="402">
        <v>0</v>
      </c>
      <c r="D54" s="402">
        <v>0</v>
      </c>
      <c r="E54" s="402">
        <v>0</v>
      </c>
      <c r="F54" s="402">
        <f>44749.93+300</f>
        <v>45049.93</v>
      </c>
    </row>
    <row r="55" spans="2:6" ht="13.2" customHeight="1" x14ac:dyDescent="0.3">
      <c r="B55" s="436"/>
      <c r="C55" s="436"/>
      <c r="D55" s="436"/>
      <c r="E55" s="436"/>
      <c r="F55" s="436"/>
    </row>
    <row r="56" spans="2:6" ht="13.2" customHeight="1" x14ac:dyDescent="0.25">
      <c r="B56" s="403"/>
      <c r="C56" s="82"/>
      <c r="D56" s="82"/>
      <c r="E56" s="82"/>
      <c r="F56" s="82"/>
    </row>
    <row r="57" spans="2:6" ht="13.2" customHeight="1" x14ac:dyDescent="0.25">
      <c r="B57" s="100" t="s">
        <v>296</v>
      </c>
      <c r="C57" s="99"/>
      <c r="D57" s="112"/>
      <c r="E57" s="406"/>
      <c r="F57" s="406"/>
    </row>
    <row r="58" spans="2:6" ht="13.2" customHeight="1" x14ac:dyDescent="0.25">
      <c r="B58" s="105" t="s">
        <v>510</v>
      </c>
      <c r="C58" s="50">
        <f>565.16*1.03</f>
        <v>582.11479999999995</v>
      </c>
      <c r="D58" s="104" t="s">
        <v>472</v>
      </c>
      <c r="E58" s="406"/>
      <c r="F58" s="406"/>
    </row>
    <row r="59" spans="2:6" ht="13.2" customHeight="1" x14ac:dyDescent="0.25"/>
    <row r="60" spans="2:6" ht="13.2" customHeight="1" x14ac:dyDescent="0.25"/>
    <row r="61" spans="2:6" ht="13.2" customHeight="1" x14ac:dyDescent="0.25">
      <c r="C61" s="198"/>
    </row>
  </sheetData>
  <mergeCells count="12">
    <mergeCell ref="B53:F53"/>
    <mergeCell ref="B2:F2"/>
    <mergeCell ref="B47:F47"/>
    <mergeCell ref="B36:F36"/>
    <mergeCell ref="B41:F41"/>
    <mergeCell ref="B18:B19"/>
    <mergeCell ref="C18:F18"/>
    <mergeCell ref="B25:F25"/>
    <mergeCell ref="B29:F29"/>
    <mergeCell ref="B3:B4"/>
    <mergeCell ref="B17:F17"/>
    <mergeCell ref="C3:F3"/>
  </mergeCells>
  <phoneticPr fontId="0" type="noConversion"/>
  <hyperlinks>
    <hyperlink ref="G1" location="'3'!A1" display="Оглавление"/>
  </hyperlinks>
  <printOptions horizontalCentered="1"/>
  <pageMargins left="0.59055118110236227" right="0.59055118110236227" top="0.55118110236220474" bottom="0.47244094488188981" header="0.15748031496062992" footer="0.23622047244094491"/>
  <pageSetup paperSize="9" scale="80" orientation="portrait" r:id="rId1"/>
  <headerFooter alignWithMargins="0">
    <oddHeader>&amp;A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Q90"/>
  <sheetViews>
    <sheetView view="pageBreakPreview" zoomScale="85" zoomScaleNormal="75" workbookViewId="0"/>
  </sheetViews>
  <sheetFormatPr defaultColWidth="8.88671875" defaultRowHeight="13.2" x14ac:dyDescent="0.25"/>
  <cols>
    <col min="1" max="1" width="7.6640625" style="171" bestFit="1" customWidth="1"/>
    <col min="2" max="6" width="14.33203125" style="171" customWidth="1"/>
    <col min="7" max="7" width="9.5546875" style="171" bestFit="1" customWidth="1"/>
    <col min="8" max="16384" width="8.88671875" style="171"/>
  </cols>
  <sheetData>
    <row r="1" spans="1:17" x14ac:dyDescent="0.25">
      <c r="B1" s="172"/>
      <c r="D1" s="172"/>
      <c r="G1" s="54" t="s">
        <v>466</v>
      </c>
    </row>
    <row r="2" spans="1:17" ht="13.2" customHeight="1" x14ac:dyDescent="0.25">
      <c r="A2" s="492"/>
      <c r="B2" s="726" t="s">
        <v>624</v>
      </c>
      <c r="C2" s="726"/>
      <c r="D2" s="726"/>
      <c r="E2" s="726"/>
      <c r="F2" s="726"/>
    </row>
    <row r="3" spans="1:17" x14ac:dyDescent="0.25">
      <c r="D3" s="172"/>
      <c r="F3" s="29">
        <v>41091</v>
      </c>
      <c r="G3" s="173"/>
    </row>
    <row r="4" spans="1:17" x14ac:dyDescent="0.25">
      <c r="B4" s="724" t="s">
        <v>625</v>
      </c>
      <c r="C4" s="724"/>
      <c r="D4" s="725" t="s">
        <v>626</v>
      </c>
      <c r="E4" s="725"/>
      <c r="F4" s="725"/>
    </row>
    <row r="5" spans="1:17" x14ac:dyDescent="0.25">
      <c r="A5" s="174"/>
      <c r="B5" s="357" t="s">
        <v>627</v>
      </c>
      <c r="C5" s="357" t="s">
        <v>628</v>
      </c>
      <c r="D5" s="491" t="s">
        <v>629</v>
      </c>
      <c r="E5" s="491" t="s">
        <v>1</v>
      </c>
      <c r="F5" s="491" t="s">
        <v>2</v>
      </c>
    </row>
    <row r="6" spans="1:17" x14ac:dyDescent="0.25">
      <c r="A6" s="174"/>
      <c r="B6" s="358">
        <v>2.1</v>
      </c>
      <c r="C6" s="359">
        <v>27</v>
      </c>
      <c r="D6" s="360">
        <v>0</v>
      </c>
      <c r="E6" s="360">
        <f>56.49*1.1</f>
        <v>62.13900000000001</v>
      </c>
      <c r="F6" s="360">
        <v>0</v>
      </c>
      <c r="G6" s="175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25">
      <c r="A7" s="174"/>
      <c r="B7" s="358">
        <v>2.1</v>
      </c>
      <c r="C7" s="359">
        <v>28</v>
      </c>
      <c r="D7" s="360">
        <v>0</v>
      </c>
      <c r="E7" s="360">
        <f>56.49*1.1</f>
        <v>62.13900000000001</v>
      </c>
      <c r="F7" s="360">
        <v>0</v>
      </c>
      <c r="G7" s="175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174"/>
      <c r="B8" s="358">
        <v>2.1</v>
      </c>
      <c r="C8" s="359">
        <v>30</v>
      </c>
      <c r="D8" s="360">
        <f>48.37*1.1</f>
        <v>53.207000000000001</v>
      </c>
      <c r="E8" s="360">
        <f>59.31*1.1</f>
        <v>65.241000000000014</v>
      </c>
      <c r="F8" s="360">
        <v>0</v>
      </c>
      <c r="G8" s="175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25">
      <c r="A9" s="174"/>
      <c r="B9" s="358">
        <v>2.1</v>
      </c>
      <c r="C9" s="359">
        <v>32</v>
      </c>
      <c r="D9" s="360">
        <f>49.61*1.1</f>
        <v>54.571000000000005</v>
      </c>
      <c r="E9" s="360">
        <f>62.23*1.1</f>
        <v>68.453000000000003</v>
      </c>
      <c r="F9" s="360">
        <v>0</v>
      </c>
      <c r="G9" s="175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x14ac:dyDescent="0.25">
      <c r="A10" s="174"/>
      <c r="B10" s="358">
        <v>2.1</v>
      </c>
      <c r="C10" s="359">
        <v>35</v>
      </c>
      <c r="D10" s="360">
        <f>52.26*1.1</f>
        <v>57.486000000000004</v>
      </c>
      <c r="E10" s="360">
        <f>66.63*1.1</f>
        <v>73.293000000000006</v>
      </c>
      <c r="F10" s="360">
        <v>0</v>
      </c>
      <c r="G10" s="175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174"/>
      <c r="B11" s="358">
        <v>2.1</v>
      </c>
      <c r="C11" s="359">
        <v>38</v>
      </c>
      <c r="D11" s="360">
        <f>54.94*1.1</f>
        <v>60.434000000000005</v>
      </c>
      <c r="E11" s="360">
        <f>70.41*1.1</f>
        <v>77.451000000000008</v>
      </c>
      <c r="F11" s="360">
        <v>0</v>
      </c>
      <c r="G11" s="175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25">
      <c r="A12" s="174"/>
      <c r="B12" s="358">
        <v>2.1</v>
      </c>
      <c r="C12" s="359">
        <v>40</v>
      </c>
      <c r="D12" s="360">
        <f>56.56*1.1</f>
        <v>62.216000000000008</v>
      </c>
      <c r="E12" s="360">
        <f>69.66*1.1</f>
        <v>76.626000000000005</v>
      </c>
      <c r="F12" s="360">
        <v>0</v>
      </c>
      <c r="G12" s="175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x14ac:dyDescent="0.25">
      <c r="A13" s="174"/>
      <c r="B13" s="358">
        <v>2.1</v>
      </c>
      <c r="C13" s="359">
        <v>45</v>
      </c>
      <c r="D13" s="360">
        <f>62.14*1.1</f>
        <v>68.353999999999999</v>
      </c>
      <c r="E13" s="360">
        <f>74.33*1.1</f>
        <v>81.763000000000005</v>
      </c>
      <c r="F13" s="360">
        <v>0</v>
      </c>
      <c r="G13" s="175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5">
      <c r="A14" s="174"/>
      <c r="B14" s="358">
        <v>2.1</v>
      </c>
      <c r="C14" s="359">
        <v>50</v>
      </c>
      <c r="D14" s="360">
        <f>66.55*1.1</f>
        <v>73.204999999999998</v>
      </c>
      <c r="E14" s="360">
        <f>78.7*1.1</f>
        <v>86.570000000000007</v>
      </c>
      <c r="F14" s="360">
        <v>0</v>
      </c>
      <c r="G14" s="175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x14ac:dyDescent="0.25">
      <c r="A15" s="174"/>
      <c r="B15" s="358">
        <v>2.1</v>
      </c>
      <c r="C15" s="359">
        <v>55</v>
      </c>
      <c r="D15" s="360">
        <f>71.05*1.1</f>
        <v>78.155000000000001</v>
      </c>
      <c r="E15" s="360">
        <f>84.14*1.1</f>
        <v>92.554000000000002</v>
      </c>
      <c r="F15" s="360">
        <v>0</v>
      </c>
      <c r="G15" s="175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x14ac:dyDescent="0.25">
      <c r="A16" s="174"/>
      <c r="B16" s="358">
        <v>2.2999999999999998</v>
      </c>
      <c r="C16" s="359">
        <v>30</v>
      </c>
      <c r="D16" s="360">
        <v>0</v>
      </c>
      <c r="E16" s="360">
        <f>69.68*1.1</f>
        <v>76.64800000000001</v>
      </c>
      <c r="F16" s="360">
        <v>0</v>
      </c>
      <c r="G16" s="175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x14ac:dyDescent="0.25">
      <c r="A17" s="174"/>
      <c r="B17" s="358">
        <v>2.2999999999999998</v>
      </c>
      <c r="C17" s="359">
        <v>35</v>
      </c>
      <c r="D17" s="360">
        <f>60.8*1.1</f>
        <v>66.88</v>
      </c>
      <c r="E17" s="360">
        <f>72.2*1.1</f>
        <v>79.420000000000016</v>
      </c>
      <c r="F17" s="360">
        <v>0</v>
      </c>
      <c r="G17" s="175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x14ac:dyDescent="0.25">
      <c r="A18" s="174"/>
      <c r="B18" s="358">
        <v>2.2999999999999998</v>
      </c>
      <c r="C18" s="359">
        <v>40</v>
      </c>
      <c r="D18" s="360">
        <v>0</v>
      </c>
      <c r="E18" s="360">
        <f>78.14*1.1</f>
        <v>85.954000000000008</v>
      </c>
      <c r="F18" s="360">
        <v>0</v>
      </c>
      <c r="G18" s="175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x14ac:dyDescent="0.25">
      <c r="A19" s="174"/>
      <c r="B19" s="358">
        <v>2.2999999999999998</v>
      </c>
      <c r="C19" s="359">
        <v>42</v>
      </c>
      <c r="D19" s="360">
        <v>0</v>
      </c>
      <c r="E19" s="360">
        <f>80.85*1.1</f>
        <v>88.935000000000002</v>
      </c>
      <c r="F19" s="360">
        <v>0</v>
      </c>
      <c r="G19" s="175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174"/>
      <c r="B20" s="358">
        <v>2.2999999999999998</v>
      </c>
      <c r="C20" s="359">
        <v>45</v>
      </c>
      <c r="D20" s="360">
        <f>67.6*1.1</f>
        <v>74.36</v>
      </c>
      <c r="E20" s="360">
        <f>81.61*1.1</f>
        <v>89.771000000000001</v>
      </c>
      <c r="F20" s="360">
        <v>0</v>
      </c>
      <c r="G20" s="17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x14ac:dyDescent="0.25">
      <c r="A21" s="174"/>
      <c r="B21" s="358">
        <v>2.2999999999999998</v>
      </c>
      <c r="C21" s="359">
        <v>50</v>
      </c>
      <c r="D21" s="360">
        <f>74.45*1.1</f>
        <v>81.89500000000001</v>
      </c>
      <c r="E21" s="360">
        <f>86.64*1.1</f>
        <v>95.304000000000002</v>
      </c>
      <c r="F21" s="360">
        <v>0</v>
      </c>
      <c r="G21" s="17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25">
      <c r="A22" s="174"/>
      <c r="B22" s="358">
        <v>2.2999999999999998</v>
      </c>
      <c r="C22" s="359">
        <v>55</v>
      </c>
      <c r="D22" s="360">
        <f>80.05*1.1</f>
        <v>88.055000000000007</v>
      </c>
      <c r="E22" s="360">
        <f>92.41*1.1</f>
        <v>101.65100000000001</v>
      </c>
      <c r="F22" s="360">
        <v>0</v>
      </c>
      <c r="G22" s="17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25">
      <c r="A23" s="174"/>
      <c r="B23" s="358">
        <v>2.2999999999999998</v>
      </c>
      <c r="C23" s="359">
        <v>57</v>
      </c>
      <c r="D23" s="360">
        <f>82.05*1.1</f>
        <v>90.25500000000001</v>
      </c>
      <c r="E23" s="360">
        <v>0</v>
      </c>
      <c r="F23" s="360">
        <v>0</v>
      </c>
      <c r="G23" s="175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25">
      <c r="A24" s="174"/>
      <c r="B24" s="361">
        <v>2.2999999999999998</v>
      </c>
      <c r="C24" s="362">
        <v>60</v>
      </c>
      <c r="D24" s="360">
        <v>0</v>
      </c>
      <c r="E24" s="360">
        <f>96.54*1.1</f>
        <v>106.19400000000002</v>
      </c>
      <c r="F24" s="360">
        <v>0</v>
      </c>
      <c r="G24" s="175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174"/>
      <c r="B25" s="361">
        <v>2.2999999999999998</v>
      </c>
      <c r="C25" s="362">
        <v>64</v>
      </c>
      <c r="D25" s="360">
        <v>0</v>
      </c>
      <c r="E25" s="360">
        <f>99.98*1.1</f>
        <v>109.97800000000001</v>
      </c>
      <c r="F25" s="360">
        <v>0</v>
      </c>
      <c r="G25" s="175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A26" s="174"/>
      <c r="B26" s="361">
        <v>2.5</v>
      </c>
      <c r="C26" s="362">
        <v>40</v>
      </c>
      <c r="D26" s="360">
        <v>0</v>
      </c>
      <c r="E26" s="360">
        <f>89.45*1.1</f>
        <v>98.39500000000001</v>
      </c>
      <c r="F26" s="360">
        <f>93*1.1</f>
        <v>102.30000000000001</v>
      </c>
      <c r="G26" s="175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174"/>
      <c r="B27" s="361">
        <v>2.5</v>
      </c>
      <c r="C27" s="362">
        <v>45</v>
      </c>
      <c r="D27" s="360">
        <v>0</v>
      </c>
      <c r="E27" s="360">
        <f>94.21*1.1</f>
        <v>103.631</v>
      </c>
      <c r="F27" s="360">
        <f>97.96*1.1</f>
        <v>107.756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A28" s="174"/>
      <c r="B28" s="361">
        <v>2.5</v>
      </c>
      <c r="C28" s="362">
        <v>50</v>
      </c>
      <c r="D28" s="360">
        <f>90.65*1.1</f>
        <v>99.715000000000018</v>
      </c>
      <c r="E28" s="360">
        <f>94.68*1.1</f>
        <v>104.14800000000001</v>
      </c>
      <c r="F28" s="360">
        <f>101.27*1.1</f>
        <v>111.39700000000001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5">
      <c r="A29" s="174"/>
      <c r="B29" s="361">
        <v>2.5</v>
      </c>
      <c r="C29" s="362">
        <v>55</v>
      </c>
      <c r="D29" s="360">
        <f>95.12*1.1</f>
        <v>104.63200000000002</v>
      </c>
      <c r="E29" s="360">
        <f>99.9*1.1</f>
        <v>109.89000000000001</v>
      </c>
      <c r="F29" s="360">
        <f>106.9*1.1</f>
        <v>117.59000000000002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x14ac:dyDescent="0.25">
      <c r="A30" s="174"/>
      <c r="B30" s="361">
        <v>2.5</v>
      </c>
      <c r="C30" s="362">
        <v>60</v>
      </c>
      <c r="D30" s="360">
        <f>96.74*1.1</f>
        <v>106.414</v>
      </c>
      <c r="E30" s="360">
        <f>103.62*1.1</f>
        <v>113.98200000000001</v>
      </c>
      <c r="F30" s="360">
        <f>110.9*1.1</f>
        <v>121.99000000000001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25">
      <c r="A31" s="174"/>
      <c r="B31" s="361">
        <v>2.5</v>
      </c>
      <c r="C31" s="362">
        <v>64</v>
      </c>
      <c r="D31" s="360">
        <f>102.79*1.1</f>
        <v>113.06900000000002</v>
      </c>
      <c r="E31" s="360">
        <f>111.56*1.1</f>
        <v>122.71600000000001</v>
      </c>
      <c r="F31" s="360">
        <f>116.92*1.1</f>
        <v>128.61200000000002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x14ac:dyDescent="0.25">
      <c r="A32" s="174"/>
      <c r="B32" s="361">
        <v>2.5</v>
      </c>
      <c r="C32" s="362">
        <v>68</v>
      </c>
      <c r="D32" s="360">
        <f>109.16*1.1</f>
        <v>120.07600000000001</v>
      </c>
      <c r="E32" s="360">
        <f>116.88*1.1</f>
        <v>128.56800000000001</v>
      </c>
      <c r="F32" s="360">
        <f>121.74*1.1</f>
        <v>133.91400000000002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5">
      <c r="A33" s="174"/>
      <c r="B33" s="361">
        <v>2.5</v>
      </c>
      <c r="C33" s="362">
        <v>70</v>
      </c>
      <c r="D33" s="360">
        <f>110.87*1.1</f>
        <v>121.95700000000001</v>
      </c>
      <c r="E33" s="360">
        <f>118.7*1.1</f>
        <v>130.57000000000002</v>
      </c>
      <c r="F33" s="360">
        <f>125.21*1.1</f>
        <v>137.73099999999999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5">
      <c r="A34" s="174"/>
      <c r="B34" s="361">
        <v>2.5</v>
      </c>
      <c r="C34" s="362">
        <v>75</v>
      </c>
      <c r="D34" s="360">
        <v>0</v>
      </c>
      <c r="E34" s="360">
        <v>0</v>
      </c>
      <c r="F34" s="360">
        <f>126.82*1.1</f>
        <v>139.50200000000001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x14ac:dyDescent="0.25">
      <c r="A35" s="174"/>
      <c r="B35" s="361">
        <v>2.5</v>
      </c>
      <c r="C35" s="362">
        <v>80</v>
      </c>
      <c r="D35" s="360">
        <f>123.92*1.1</f>
        <v>136.31200000000001</v>
      </c>
      <c r="E35" s="360">
        <f>127.68*1.1</f>
        <v>140.44800000000001</v>
      </c>
      <c r="F35" s="360">
        <f>134.04*1.1</f>
        <v>147.44400000000002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25">
      <c r="A36" s="174"/>
      <c r="B36" s="361">
        <v>2.8</v>
      </c>
      <c r="C36" s="362">
        <v>40</v>
      </c>
      <c r="D36" s="360">
        <v>0</v>
      </c>
      <c r="E36" s="360">
        <f>115.74*1.1</f>
        <v>127.31400000000001</v>
      </c>
      <c r="F36" s="360"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x14ac:dyDescent="0.25">
      <c r="A37" s="174"/>
      <c r="B37" s="361">
        <v>2.8</v>
      </c>
      <c r="C37" s="362">
        <v>50</v>
      </c>
      <c r="D37" s="360">
        <v>0</v>
      </c>
      <c r="E37" s="360">
        <f>118.89*1.1</f>
        <v>130.77900000000002</v>
      </c>
      <c r="F37" s="360"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x14ac:dyDescent="0.25">
      <c r="A38" s="174"/>
      <c r="B38" s="361">
        <v>2.8</v>
      </c>
      <c r="C38" s="362">
        <v>60</v>
      </c>
      <c r="D38" s="360">
        <f>117.64*1.1</f>
        <v>129.40400000000002</v>
      </c>
      <c r="E38" s="360">
        <f>124.21*1.1</f>
        <v>136.631</v>
      </c>
      <c r="F38" s="360">
        <f>129.13*1.1</f>
        <v>142.04300000000001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x14ac:dyDescent="0.25">
      <c r="A39" s="174"/>
      <c r="B39" s="361">
        <v>2.8</v>
      </c>
      <c r="C39" s="362">
        <v>64</v>
      </c>
      <c r="D39" s="360">
        <f>123.83*1.1</f>
        <v>136.21300000000002</v>
      </c>
      <c r="E39" s="360">
        <f>130.58*1.1</f>
        <v>143.63800000000003</v>
      </c>
      <c r="F39" s="360">
        <f>135.94*1.1</f>
        <v>149.53400000000002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25">
      <c r="A40" s="174"/>
      <c r="B40" s="361">
        <v>2.8</v>
      </c>
      <c r="C40" s="362">
        <v>68</v>
      </c>
      <c r="D40" s="360">
        <f>125.88*1.1</f>
        <v>138.46800000000002</v>
      </c>
      <c r="E40" s="360">
        <f>134.04*1.1</f>
        <v>147.44400000000002</v>
      </c>
      <c r="F40" s="360">
        <f>140.18*1.1</f>
        <v>154.19800000000001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25">
      <c r="A41" s="174"/>
      <c r="B41" s="361">
        <v>2.8</v>
      </c>
      <c r="C41" s="362">
        <v>70</v>
      </c>
      <c r="D41" s="360">
        <f>127.7*1.1</f>
        <v>140.47000000000003</v>
      </c>
      <c r="E41" s="360">
        <f>135.37*1.1</f>
        <v>148.90700000000001</v>
      </c>
      <c r="F41" s="360">
        <f>142.13*1.1</f>
        <v>156.34300000000002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x14ac:dyDescent="0.25">
      <c r="A42" s="174"/>
      <c r="B42" s="361">
        <v>2.8</v>
      </c>
      <c r="C42" s="362">
        <v>75</v>
      </c>
      <c r="D42" s="360">
        <v>0</v>
      </c>
      <c r="E42" s="360">
        <f>144.82*1.1</f>
        <v>159.30199999999999</v>
      </c>
      <c r="F42" s="360">
        <f>151.01*1.1</f>
        <v>166.11099999999999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174"/>
      <c r="B43" s="361">
        <v>2.8</v>
      </c>
      <c r="C43" s="362">
        <v>80</v>
      </c>
      <c r="D43" s="360">
        <f>147.64*1.1</f>
        <v>162.404</v>
      </c>
      <c r="E43" s="360">
        <f>155.04*1.1</f>
        <v>170.54400000000001</v>
      </c>
      <c r="F43" s="360">
        <f>162.06*1.1</f>
        <v>178.26600000000002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174"/>
      <c r="B44" s="361">
        <v>2.8</v>
      </c>
      <c r="C44" s="362">
        <v>88</v>
      </c>
      <c r="D44" s="360">
        <f>158.87*1.1</f>
        <v>174.75700000000001</v>
      </c>
      <c r="E44" s="360">
        <f>166.18*1.1</f>
        <v>182.79800000000003</v>
      </c>
      <c r="F44" s="360">
        <f>174.25*1.1</f>
        <v>191.67500000000001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174"/>
      <c r="B45" s="361">
        <v>3.1</v>
      </c>
      <c r="C45" s="362">
        <v>42</v>
      </c>
      <c r="D45" s="360">
        <f>129.79*1.1</f>
        <v>142.76900000000001</v>
      </c>
      <c r="E45" s="360">
        <v>0</v>
      </c>
      <c r="F45" s="360"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x14ac:dyDescent="0.25">
      <c r="A46" s="174"/>
      <c r="B46" s="361">
        <v>3.1</v>
      </c>
      <c r="C46" s="362">
        <v>50</v>
      </c>
      <c r="D46" s="360">
        <f>137.09*1.1</f>
        <v>150.79900000000001</v>
      </c>
      <c r="E46" s="360">
        <v>0</v>
      </c>
      <c r="F46" s="360">
        <v>0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x14ac:dyDescent="0.25">
      <c r="A47" s="174"/>
      <c r="B47" s="361">
        <v>3.1</v>
      </c>
      <c r="C47" s="362">
        <v>60</v>
      </c>
      <c r="D47" s="360">
        <v>0</v>
      </c>
      <c r="E47" s="360">
        <f>162.9*1.1</f>
        <v>179.19000000000003</v>
      </c>
      <c r="F47" s="360">
        <f>169.73*1.1</f>
        <v>186.703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x14ac:dyDescent="0.25">
      <c r="A48" s="174"/>
      <c r="B48" s="361">
        <v>3.1</v>
      </c>
      <c r="C48" s="362">
        <v>70</v>
      </c>
      <c r="D48" s="360">
        <f>157.04*1.1</f>
        <v>172.744</v>
      </c>
      <c r="E48" s="360">
        <f>164.88*1.1</f>
        <v>181.36800000000002</v>
      </c>
      <c r="F48" s="360">
        <f>172.32*1.1</f>
        <v>189.55200000000002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7" x14ac:dyDescent="0.25">
      <c r="A49" s="174"/>
      <c r="B49" s="361">
        <v>3.1</v>
      </c>
      <c r="C49" s="362">
        <v>75</v>
      </c>
      <c r="D49" s="360">
        <v>0</v>
      </c>
      <c r="E49" s="360">
        <f>170.89*1.1</f>
        <v>187.97900000000001</v>
      </c>
      <c r="F49" s="360">
        <v>0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x14ac:dyDescent="0.25">
      <c r="A50" s="174"/>
      <c r="B50" s="361">
        <v>3.1</v>
      </c>
      <c r="C50" s="362">
        <v>80</v>
      </c>
      <c r="D50" s="360">
        <f>177.39*1.1</f>
        <v>195.12899999999999</v>
      </c>
      <c r="E50" s="360">
        <f>186.24*1.1</f>
        <v>204.86400000000003</v>
      </c>
      <c r="F50" s="360">
        <f>194.9*1.1</f>
        <v>214.39000000000001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x14ac:dyDescent="0.25">
      <c r="A51" s="174"/>
      <c r="B51" s="361">
        <v>3.1</v>
      </c>
      <c r="C51" s="362">
        <v>88</v>
      </c>
      <c r="D51" s="360">
        <f>189.96*1.1</f>
        <v>208.95600000000002</v>
      </c>
      <c r="E51" s="360">
        <f>199.47*1.1</f>
        <v>219.41700000000003</v>
      </c>
      <c r="F51" s="360">
        <f>208.95*1.1</f>
        <v>229.845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x14ac:dyDescent="0.25">
      <c r="A52" s="174"/>
      <c r="B52" s="361">
        <v>3.1</v>
      </c>
      <c r="C52" s="362">
        <v>90</v>
      </c>
      <c r="D52" s="360">
        <v>0</v>
      </c>
      <c r="E52" s="360">
        <f>210.3*1.1</f>
        <v>231.33000000000004</v>
      </c>
      <c r="F52" s="360">
        <f>219.99*1.1</f>
        <v>241.98900000000003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x14ac:dyDescent="0.25">
      <c r="A53" s="174"/>
      <c r="B53" s="361">
        <v>3.4</v>
      </c>
      <c r="C53" s="362">
        <v>90</v>
      </c>
      <c r="D53" s="360">
        <v>0</v>
      </c>
      <c r="E53" s="360">
        <f>243.88*1.1</f>
        <v>268.26800000000003</v>
      </c>
      <c r="F53" s="360">
        <v>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x14ac:dyDescent="0.25">
      <c r="B54" s="361">
        <v>3.4</v>
      </c>
      <c r="C54" s="362">
        <v>98</v>
      </c>
      <c r="D54" s="360">
        <f>260.12*1.1</f>
        <v>286.13200000000001</v>
      </c>
      <c r="E54" s="360">
        <v>0</v>
      </c>
      <c r="F54" s="360">
        <v>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x14ac:dyDescent="0.25">
      <c r="B55" s="368"/>
      <c r="C55" s="369"/>
      <c r="D55" s="370"/>
      <c r="E55" s="370"/>
      <c r="F55" s="370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x14ac:dyDescent="0.2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x14ac:dyDescent="0.25">
      <c r="B57" s="724" t="s">
        <v>3</v>
      </c>
      <c r="C57" s="724"/>
      <c r="D57" s="727" t="s">
        <v>626</v>
      </c>
      <c r="E57" s="727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x14ac:dyDescent="0.25">
      <c r="B58" s="357" t="s">
        <v>627</v>
      </c>
      <c r="C58" s="357" t="s">
        <v>628</v>
      </c>
      <c r="D58" s="491" t="s">
        <v>629</v>
      </c>
      <c r="E58" s="491" t="s">
        <v>1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x14ac:dyDescent="0.25">
      <c r="B59" s="363">
        <v>2.9</v>
      </c>
      <c r="C59" s="363">
        <v>50</v>
      </c>
      <c r="D59" s="360">
        <v>0</v>
      </c>
      <c r="E59" s="360">
        <f>223.97*1.1</f>
        <v>246.36700000000002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x14ac:dyDescent="0.25">
      <c r="B60" s="363">
        <v>2.9</v>
      </c>
      <c r="C60" s="363">
        <v>75</v>
      </c>
      <c r="D60" s="360">
        <f>214*1.1</f>
        <v>235.4</v>
      </c>
      <c r="E60" s="360"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x14ac:dyDescent="0.25">
      <c r="B61" s="363">
        <v>3.1</v>
      </c>
      <c r="C61" s="363">
        <v>90</v>
      </c>
      <c r="D61" s="360">
        <f>267.26*1.1</f>
        <v>293.98599999999999</v>
      </c>
      <c r="E61" s="360">
        <f>272.37*1.1</f>
        <v>299.60700000000003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x14ac:dyDescent="0.25">
      <c r="B62" s="371"/>
      <c r="C62" s="371"/>
      <c r="D62" s="370"/>
      <c r="E62" s="370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x14ac:dyDescent="0.2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x14ac:dyDescent="0.25">
      <c r="B64" s="724" t="s">
        <v>4</v>
      </c>
      <c r="C64" s="724"/>
      <c r="D64" s="491" t="s">
        <v>626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2:17" x14ac:dyDescent="0.25">
      <c r="B65" s="357" t="s">
        <v>627</v>
      </c>
      <c r="C65" s="357" t="s">
        <v>628</v>
      </c>
      <c r="D65" s="491" t="s">
        <v>629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2:17" x14ac:dyDescent="0.25">
      <c r="B66" s="364">
        <v>2.5</v>
      </c>
      <c r="C66" s="365">
        <v>50</v>
      </c>
      <c r="D66" s="360">
        <v>165.33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2:17" x14ac:dyDescent="0.25">
      <c r="B67" s="364">
        <v>2.8</v>
      </c>
      <c r="C67" s="365">
        <v>80</v>
      </c>
      <c r="D67" s="360">
        <f>206.9*1.1</f>
        <v>227.59000000000003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2:17" x14ac:dyDescent="0.25">
      <c r="B68" s="364">
        <v>3.1</v>
      </c>
      <c r="C68" s="365">
        <v>70</v>
      </c>
      <c r="D68" s="360">
        <f>207.11*1.1</f>
        <v>227.82100000000003</v>
      </c>
      <c r="E68" s="176"/>
      <c r="F68" s="177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2:17" x14ac:dyDescent="0.25">
      <c r="B69" s="364">
        <v>3.1</v>
      </c>
      <c r="C69" s="365">
        <v>80</v>
      </c>
      <c r="D69" s="360">
        <f>221.45*1.1</f>
        <v>243.595</v>
      </c>
      <c r="E69" s="176"/>
      <c r="F69" s="177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2:17" x14ac:dyDescent="0.25">
      <c r="B70" s="364">
        <v>3.1</v>
      </c>
      <c r="C70" s="365">
        <v>88</v>
      </c>
      <c r="D70" s="360">
        <f>237.96*1.1</f>
        <v>261.75600000000003</v>
      </c>
      <c r="E70" s="176"/>
      <c r="F70" s="177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2:17" x14ac:dyDescent="0.25">
      <c r="B71" s="364">
        <v>3.4</v>
      </c>
      <c r="C71" s="365">
        <v>100</v>
      </c>
      <c r="D71" s="360">
        <f>309.42*1.1</f>
        <v>340.36200000000002</v>
      </c>
      <c r="E71" s="176"/>
      <c r="F71" s="177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2:17" x14ac:dyDescent="0.25">
      <c r="B72" s="364">
        <v>3.8</v>
      </c>
      <c r="C72" s="365">
        <v>100</v>
      </c>
      <c r="D72" s="360">
        <f>379.47*1.1</f>
        <v>417.41700000000009</v>
      </c>
      <c r="E72" s="176"/>
      <c r="F72" s="177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2:17" x14ac:dyDescent="0.25">
      <c r="B73" s="364">
        <v>3.8</v>
      </c>
      <c r="C73" s="365">
        <v>110</v>
      </c>
      <c r="D73" s="360">
        <f>433.05*1.1</f>
        <v>476.35500000000008</v>
      </c>
      <c r="E73" s="176"/>
      <c r="F73" s="177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2:17" x14ac:dyDescent="0.25">
      <c r="B74" s="364">
        <v>3.8</v>
      </c>
      <c r="C74" s="365">
        <v>120</v>
      </c>
      <c r="D74" s="360">
        <f>440.86*1.1</f>
        <v>484.94600000000003</v>
      </c>
      <c r="E74" s="176"/>
      <c r="F74" s="177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2:17" x14ac:dyDescent="0.25">
      <c r="B75" s="364">
        <v>3.8</v>
      </c>
      <c r="C75" s="365">
        <v>130</v>
      </c>
      <c r="D75" s="360">
        <f>458.06*1.1</f>
        <v>503.86600000000004</v>
      </c>
      <c r="E75" s="176"/>
      <c r="F75" s="177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2:17" x14ac:dyDescent="0.25">
      <c r="B76" s="364">
        <v>4.2</v>
      </c>
      <c r="C76" s="365">
        <v>110</v>
      </c>
      <c r="D76" s="360">
        <f>469.21*1.1</f>
        <v>516.13099999999997</v>
      </c>
      <c r="E76" s="176"/>
      <c r="F76" s="177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7" spans="2:17" x14ac:dyDescent="0.25">
      <c r="B77" s="364">
        <v>4.2</v>
      </c>
      <c r="C77" s="365">
        <v>120</v>
      </c>
      <c r="D77" s="360">
        <f>532.65*1.1</f>
        <v>585.91500000000008</v>
      </c>
      <c r="E77" s="176"/>
      <c r="F77" s="177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2:17" x14ac:dyDescent="0.25">
      <c r="B78" s="364">
        <v>4.5999999999999996</v>
      </c>
      <c r="C78" s="365">
        <v>145</v>
      </c>
      <c r="D78" s="360">
        <f>744.38*1.1</f>
        <v>818.8180000000001</v>
      </c>
      <c r="E78" s="176"/>
      <c r="F78" s="177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2:17" x14ac:dyDescent="0.25">
      <c r="B79" s="364">
        <v>4.5999999999999996</v>
      </c>
      <c r="C79" s="365">
        <v>160</v>
      </c>
      <c r="D79" s="360">
        <f>815.87*1.1</f>
        <v>897.45700000000011</v>
      </c>
      <c r="E79" s="176"/>
      <c r="F79" s="177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2:17" x14ac:dyDescent="0.25">
      <c r="B80" s="372"/>
      <c r="C80" s="373"/>
      <c r="D80" s="370"/>
      <c r="E80" s="176"/>
      <c r="F80" s="177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x14ac:dyDescent="0.25">
      <c r="F81" s="29">
        <v>41091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x14ac:dyDescent="0.25">
      <c r="B82" s="724" t="s">
        <v>5</v>
      </c>
      <c r="C82" s="724"/>
      <c r="D82" s="725" t="s">
        <v>472</v>
      </c>
      <c r="E82" s="725"/>
      <c r="F82" s="725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x14ac:dyDescent="0.25">
      <c r="A83" s="174"/>
      <c r="B83" s="357" t="s">
        <v>627</v>
      </c>
      <c r="C83" s="357" t="s">
        <v>628</v>
      </c>
      <c r="D83" s="491" t="s">
        <v>629</v>
      </c>
      <c r="E83" s="491" t="s">
        <v>1</v>
      </c>
      <c r="F83" s="491" t="s">
        <v>2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 x14ac:dyDescent="0.25">
      <c r="A84" s="174"/>
      <c r="B84" s="366">
        <v>2.1</v>
      </c>
      <c r="C84" s="366" t="s">
        <v>6</v>
      </c>
      <c r="D84" s="367">
        <f>49285.74*1.1</f>
        <v>54214.314000000006</v>
      </c>
      <c r="E84" s="367">
        <f>51516.23*1.1</f>
        <v>56667.85300000001</v>
      </c>
      <c r="F84" s="367">
        <v>0</v>
      </c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x14ac:dyDescent="0.25">
      <c r="A85" s="174"/>
      <c r="B85" s="366">
        <v>2.2000000000000002</v>
      </c>
      <c r="C85" s="491" t="s">
        <v>7</v>
      </c>
      <c r="D85" s="367">
        <f>43724.95*1.1</f>
        <v>48097.445</v>
      </c>
      <c r="E85" s="367">
        <v>0</v>
      </c>
      <c r="F85" s="367">
        <v>0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x14ac:dyDescent="0.25">
      <c r="A86" s="174"/>
      <c r="B86" s="366">
        <v>2.2999999999999998</v>
      </c>
      <c r="C86" s="366" t="s">
        <v>8</v>
      </c>
      <c r="D86" s="367">
        <f>42603.29*1.1</f>
        <v>46863.619000000006</v>
      </c>
      <c r="E86" s="367">
        <v>0</v>
      </c>
      <c r="F86" s="367">
        <v>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x14ac:dyDescent="0.25">
      <c r="A87" s="174"/>
      <c r="B87" s="366">
        <v>2.5</v>
      </c>
      <c r="C87" s="366" t="s">
        <v>8</v>
      </c>
      <c r="D87" s="367">
        <f>36506.95*1.1</f>
        <v>40157.644999999997</v>
      </c>
      <c r="E87" s="367">
        <f>37487.87*1.1</f>
        <v>41236.657000000007</v>
      </c>
      <c r="F87" s="367">
        <f>38987.38*1.1</f>
        <v>42886.118000000002</v>
      </c>
      <c r="G87" s="73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x14ac:dyDescent="0.25">
      <c r="B88" s="366" t="s">
        <v>9</v>
      </c>
      <c r="C88" s="366" t="s">
        <v>278</v>
      </c>
      <c r="D88" s="367">
        <f>35036.47*1.1</f>
        <v>38540.117000000006</v>
      </c>
      <c r="E88" s="367">
        <f>37298.33*1.1</f>
        <v>41028.163000000008</v>
      </c>
      <c r="F88" s="367">
        <f>38622.63*1.1</f>
        <v>42484.893000000004</v>
      </c>
      <c r="G88" s="410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x14ac:dyDescent="0.25">
      <c r="E89" s="409"/>
      <c r="F89" s="409"/>
    </row>
    <row r="90" spans="1:17" x14ac:dyDescent="0.25">
      <c r="F90" s="409"/>
    </row>
  </sheetData>
  <mergeCells count="8">
    <mergeCell ref="B82:C82"/>
    <mergeCell ref="D82:F82"/>
    <mergeCell ref="B57:C57"/>
    <mergeCell ref="B2:F2"/>
    <mergeCell ref="B4:C4"/>
    <mergeCell ref="D4:F4"/>
    <mergeCell ref="D57:E57"/>
    <mergeCell ref="B64:C64"/>
  </mergeCells>
  <phoneticPr fontId="26" type="noConversion"/>
  <hyperlinks>
    <hyperlink ref="G1" location="'3'!A1" display="Оглавление"/>
  </hyperlinks>
  <printOptions horizontalCentered="1"/>
  <pageMargins left="0.78740157480314965" right="0.78740157480314965" top="0.31496062992125984" bottom="0.23622047244094491" header="3.937007874015748E-2" footer="0.27559055118110237"/>
  <pageSetup paperSize="9" scale="6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30"/>
  <sheetViews>
    <sheetView view="pageBreakPreview" zoomScale="85" zoomScaleNormal="75" workbookViewId="0">
      <selection activeCell="A14" sqref="A14"/>
    </sheetView>
  </sheetViews>
  <sheetFormatPr defaultColWidth="8.88671875" defaultRowHeight="13.2" x14ac:dyDescent="0.25"/>
  <cols>
    <col min="1" max="1" width="20.33203125" style="36" bestFit="1" customWidth="1"/>
    <col min="2" max="2" width="73.44140625" style="36" customWidth="1"/>
    <col min="3" max="3" width="5.88671875" style="36" customWidth="1"/>
    <col min="4" max="16384" width="8.88671875" style="36"/>
  </cols>
  <sheetData>
    <row r="1" spans="1:3" ht="38.4" customHeight="1" x14ac:dyDescent="0.25">
      <c r="A1" s="532" t="s">
        <v>474</v>
      </c>
      <c r="B1" s="532"/>
      <c r="C1" s="209" t="s">
        <v>690</v>
      </c>
    </row>
    <row r="2" spans="1:3" s="10" customFormat="1" x14ac:dyDescent="0.25">
      <c r="A2" s="223" t="s">
        <v>492</v>
      </c>
      <c r="B2" s="218" t="s">
        <v>493</v>
      </c>
      <c r="C2" s="220">
        <v>25</v>
      </c>
    </row>
    <row r="3" spans="1:3" s="10" customFormat="1" x14ac:dyDescent="0.25">
      <c r="A3" s="223" t="s">
        <v>470</v>
      </c>
      <c r="B3" s="218" t="s">
        <v>231</v>
      </c>
      <c r="C3" s="220">
        <v>25</v>
      </c>
    </row>
    <row r="4" spans="1:3" s="10" customFormat="1" x14ac:dyDescent="0.25">
      <c r="A4" s="223" t="s">
        <v>471</v>
      </c>
      <c r="B4" s="218" t="s">
        <v>479</v>
      </c>
      <c r="C4" s="220">
        <v>25</v>
      </c>
    </row>
    <row r="5" spans="1:3" s="10" customFormat="1" ht="25.5" customHeight="1" x14ac:dyDescent="0.25">
      <c r="A5" s="224" t="s">
        <v>400</v>
      </c>
      <c r="B5" s="165" t="s">
        <v>696</v>
      </c>
      <c r="C5" s="220">
        <v>26</v>
      </c>
    </row>
    <row r="6" spans="1:3" s="10" customFormat="1" ht="12.75" customHeight="1" x14ac:dyDescent="0.25">
      <c r="A6" s="224" t="s">
        <v>401</v>
      </c>
      <c r="B6" s="218" t="s">
        <v>697</v>
      </c>
      <c r="C6" s="220">
        <v>26</v>
      </c>
    </row>
    <row r="7" spans="1:3" s="10" customFormat="1" x14ac:dyDescent="0.25">
      <c r="A7" s="224" t="s">
        <v>41</v>
      </c>
      <c r="B7" s="215" t="s">
        <v>48</v>
      </c>
      <c r="C7" s="220">
        <v>26</v>
      </c>
    </row>
    <row r="8" spans="1:3" s="10" customFormat="1" ht="25.5" customHeight="1" x14ac:dyDescent="0.25">
      <c r="A8" s="225" t="s">
        <v>42</v>
      </c>
      <c r="B8" s="214" t="s">
        <v>692</v>
      </c>
      <c r="C8" s="220">
        <v>27</v>
      </c>
    </row>
    <row r="9" spans="1:3" s="10" customFormat="1" ht="25.5" customHeight="1" x14ac:dyDescent="0.25">
      <c r="A9" s="225" t="s">
        <v>43</v>
      </c>
      <c r="B9" s="214" t="s">
        <v>693</v>
      </c>
      <c r="C9" s="220">
        <v>27</v>
      </c>
    </row>
    <row r="10" spans="1:3" s="10" customFormat="1" ht="25.5" customHeight="1" x14ac:dyDescent="0.25">
      <c r="A10" s="225" t="s">
        <v>44</v>
      </c>
      <c r="B10" s="214" t="s">
        <v>694</v>
      </c>
      <c r="C10" s="220">
        <v>27</v>
      </c>
    </row>
    <row r="11" spans="1:3" s="10" customFormat="1" ht="25.5" customHeight="1" x14ac:dyDescent="0.25">
      <c r="A11" s="225" t="s">
        <v>45</v>
      </c>
      <c r="B11" s="214" t="s">
        <v>695</v>
      </c>
      <c r="C11" s="220">
        <v>27</v>
      </c>
    </row>
    <row r="12" spans="1:3" s="10" customFormat="1" x14ac:dyDescent="0.25">
      <c r="A12" s="225" t="s">
        <v>46</v>
      </c>
      <c r="B12" s="218" t="s">
        <v>47</v>
      </c>
      <c r="C12" s="220">
        <v>27</v>
      </c>
    </row>
    <row r="13" spans="1:3" x14ac:dyDescent="0.25">
      <c r="A13" s="533" t="s">
        <v>170</v>
      </c>
      <c r="B13" s="533"/>
      <c r="C13" s="533"/>
    </row>
    <row r="14" spans="1:3" x14ac:dyDescent="0.25">
      <c r="A14" s="226" t="s">
        <v>168</v>
      </c>
      <c r="B14" s="218" t="s">
        <v>235</v>
      </c>
      <c r="C14" s="220">
        <v>28</v>
      </c>
    </row>
    <row r="15" spans="1:3" x14ac:dyDescent="0.25">
      <c r="A15" s="226" t="s">
        <v>169</v>
      </c>
      <c r="B15" s="218" t="s">
        <v>235</v>
      </c>
      <c r="C15" s="220">
        <v>28</v>
      </c>
    </row>
    <row r="16" spans="1:3" x14ac:dyDescent="0.25">
      <c r="A16" s="226" t="s">
        <v>171</v>
      </c>
      <c r="B16" s="218" t="s">
        <v>236</v>
      </c>
      <c r="C16" s="220">
        <v>28</v>
      </c>
    </row>
    <row r="17" spans="1:3" x14ac:dyDescent="0.25">
      <c r="A17" s="226" t="s">
        <v>172</v>
      </c>
      <c r="B17" s="218" t="s">
        <v>237</v>
      </c>
      <c r="C17" s="220">
        <v>28</v>
      </c>
    </row>
    <row r="18" spans="1:3" x14ac:dyDescent="0.25">
      <c r="A18" s="226" t="s">
        <v>173</v>
      </c>
      <c r="B18" s="218" t="s">
        <v>238</v>
      </c>
      <c r="C18" s="220">
        <v>28</v>
      </c>
    </row>
    <row r="19" spans="1:3" x14ac:dyDescent="0.25">
      <c r="A19" s="226" t="s">
        <v>174</v>
      </c>
      <c r="B19" s="218" t="s">
        <v>239</v>
      </c>
      <c r="C19" s="220">
        <v>28</v>
      </c>
    </row>
    <row r="20" spans="1:3" x14ac:dyDescent="0.25">
      <c r="A20" s="226" t="s">
        <v>175</v>
      </c>
      <c r="B20" s="218" t="s">
        <v>240</v>
      </c>
      <c r="C20" s="220">
        <v>28</v>
      </c>
    </row>
    <row r="21" spans="1:3" x14ac:dyDescent="0.25">
      <c r="A21" s="226" t="s">
        <v>631</v>
      </c>
      <c r="B21" s="218" t="s">
        <v>453</v>
      </c>
      <c r="C21" s="220">
        <v>28</v>
      </c>
    </row>
    <row r="22" spans="1:3" x14ac:dyDescent="0.25">
      <c r="A22" s="226" t="s">
        <v>17</v>
      </c>
      <c r="B22" s="218" t="s">
        <v>18</v>
      </c>
      <c r="C22" s="220">
        <v>29</v>
      </c>
    </row>
    <row r="23" spans="1:3" x14ac:dyDescent="0.25">
      <c r="A23" s="533" t="s">
        <v>183</v>
      </c>
      <c r="B23" s="533"/>
      <c r="C23" s="533"/>
    </row>
    <row r="24" spans="1:3" x14ac:dyDescent="0.25">
      <c r="A24" s="226" t="s">
        <v>177</v>
      </c>
      <c r="B24" s="218" t="s">
        <v>241</v>
      </c>
      <c r="C24" s="220">
        <v>30</v>
      </c>
    </row>
    <row r="25" spans="1:3" x14ac:dyDescent="0.25">
      <c r="A25" s="226" t="s">
        <v>178</v>
      </c>
      <c r="B25" s="218" t="s">
        <v>242</v>
      </c>
      <c r="C25" s="220">
        <v>30</v>
      </c>
    </row>
    <row r="26" spans="1:3" x14ac:dyDescent="0.25">
      <c r="A26" s="227" t="s">
        <v>179</v>
      </c>
      <c r="B26" s="218" t="s">
        <v>691</v>
      </c>
      <c r="C26" s="220">
        <v>30</v>
      </c>
    </row>
    <row r="27" spans="1:3" x14ac:dyDescent="0.25">
      <c r="A27" s="533" t="s">
        <v>243</v>
      </c>
      <c r="B27" s="533"/>
      <c r="C27" s="533"/>
    </row>
    <row r="28" spans="1:3" x14ac:dyDescent="0.25">
      <c r="A28" s="228" t="s">
        <v>351</v>
      </c>
      <c r="B28" s="219" t="s">
        <v>350</v>
      </c>
      <c r="C28" s="220">
        <v>31</v>
      </c>
    </row>
    <row r="29" spans="1:3" x14ac:dyDescent="0.25">
      <c r="A29" s="229" t="s">
        <v>351</v>
      </c>
      <c r="B29" s="219" t="s">
        <v>683</v>
      </c>
      <c r="C29" s="220">
        <v>32</v>
      </c>
    </row>
    <row r="30" spans="1:3" x14ac:dyDescent="0.25">
      <c r="A30" s="229" t="s">
        <v>351</v>
      </c>
      <c r="B30" s="219" t="s">
        <v>684</v>
      </c>
      <c r="C30" s="220">
        <v>33</v>
      </c>
    </row>
  </sheetData>
  <mergeCells count="4">
    <mergeCell ref="A1:B1"/>
    <mergeCell ref="A13:C13"/>
    <mergeCell ref="A23:C23"/>
    <mergeCell ref="A27:C27"/>
  </mergeCells>
  <phoneticPr fontId="0" type="noConversion"/>
  <hyperlinks>
    <hyperlink ref="A24" location="'30'!A1" display="ГОСТ 1051-73"/>
    <hyperlink ref="A25" location="'30'!A1" display="ГОСТ 4543-71"/>
    <hyperlink ref="A26" location="'30'!A1" display="ГОСТ 1414-75"/>
    <hyperlink ref="A21" location="'28'!A1" display="DIN 1152, ТУ 012"/>
    <hyperlink ref="A20" location="'28'!A1" display="ТУ 14-4-1161-82"/>
    <hyperlink ref="A19" location="'28'!A1" display="ТУ 14-178-259-94"/>
    <hyperlink ref="A18" location="'28'!A1" display="ГОСТ 4034-63"/>
    <hyperlink ref="A17" location="'28'!A1" display="ГОСТ 4030-63"/>
    <hyperlink ref="A16" location="'28'!A1" display="ГОСТ 4029-63"/>
    <hyperlink ref="A14" location="'28'!A1" display="ГОСТ 4028-63"/>
    <hyperlink ref="A15" location="'28'!A1" display="ТУ 14-178-326-98"/>
    <hyperlink ref="B28:B30" location="'33'!A1" display="Болты"/>
    <hyperlink ref="B29" location="'32'!A1" display="Гайки, шайбы, шплинты"/>
    <hyperlink ref="B30" location="'33'!A1" display="Заклепки"/>
    <hyperlink ref="B28" location="'31'!A1" display="Болты"/>
    <hyperlink ref="A22" location="'29'!A1" display="DIN EN10230 "/>
    <hyperlink ref="A4" location="'25'!A1" display="ТУ 14-4-625-2004"/>
    <hyperlink ref="A3" location="'25'!A1" display="ТУ 14-4-273-2002"/>
    <hyperlink ref="A5" location="'26'!A1" display="ТУ 14-4-721-76"/>
    <hyperlink ref="A6" location="'26'!A1" display="ТУ 14-4-722-76"/>
    <hyperlink ref="A2" location="'25'!A1" display="ТУ 14-4-163-2004"/>
    <hyperlink ref="A8" location="'27'!A1" display=" ГОСТ 3090-73"/>
    <hyperlink ref="A9" location="'27'!A1" display=" ГОСТ 18901-73"/>
    <hyperlink ref="A10" location="'27'!A1" display=" ГОСТ 7675-73"/>
    <hyperlink ref="A11" location="'27'!A1" display="ГОСТ 7676-73"/>
    <hyperlink ref="A12" location="'27'!A1" display=" ТУ 14-4-1216-82"/>
    <hyperlink ref="A7" location="'26'!A1" display="ТУ 14-4-496-74"/>
  </hyperlinks>
  <pageMargins left="0.6" right="0.5" top="1" bottom="1" header="0.5" footer="0.5"/>
  <pageSetup paperSize="9" scale="94" orientation="portrait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J45"/>
  <sheetViews>
    <sheetView view="pageBreakPreview" zoomScale="85" zoomScaleNormal="65" zoomScaleSheetLayoutView="75" workbookViewId="0"/>
  </sheetViews>
  <sheetFormatPr defaultColWidth="8.88671875" defaultRowHeight="13.2" x14ac:dyDescent="0.25"/>
  <cols>
    <col min="1" max="1" width="10.33203125" style="24" bestFit="1" customWidth="1"/>
    <col min="2" max="2" width="19.33203125" style="35" customWidth="1"/>
    <col min="3" max="3" width="12.6640625" style="35" customWidth="1"/>
    <col min="4" max="4" width="12.109375" style="35" customWidth="1"/>
    <col min="5" max="5" width="12.6640625" style="35" customWidth="1"/>
    <col min="6" max="6" width="13.33203125" style="35" customWidth="1"/>
    <col min="7" max="7" width="14.33203125" style="35" customWidth="1"/>
    <col min="8" max="8" width="14.6640625" style="35" customWidth="1"/>
    <col min="9" max="9" width="13.33203125" style="24" customWidth="1"/>
    <col min="10" max="10" width="9.5546875" style="24" bestFit="1" customWidth="1"/>
    <col min="11" max="16384" width="8.88671875" style="24"/>
  </cols>
  <sheetData>
    <row r="1" spans="1:10" s="10" customFormat="1" x14ac:dyDescent="0.25">
      <c r="B1" s="36"/>
      <c r="C1" s="36"/>
      <c r="D1" s="36"/>
      <c r="E1" s="36"/>
      <c r="F1" s="36"/>
      <c r="G1" s="36"/>
      <c r="H1" s="37"/>
      <c r="I1" s="37">
        <v>40634</v>
      </c>
      <c r="J1" s="54" t="s">
        <v>466</v>
      </c>
    </row>
    <row r="2" spans="1:10" s="10" customFormat="1" ht="18.600000000000001" customHeight="1" x14ac:dyDescent="0.25">
      <c r="B2" s="733" t="s">
        <v>177</v>
      </c>
      <c r="C2" s="733"/>
      <c r="D2" s="733"/>
      <c r="E2" s="733"/>
      <c r="F2" s="733"/>
      <c r="G2" s="733"/>
      <c r="H2" s="733"/>
      <c r="I2" s="733"/>
    </row>
    <row r="3" spans="1:10" s="10" customFormat="1" x14ac:dyDescent="0.25">
      <c r="B3" s="734" t="s">
        <v>499</v>
      </c>
      <c r="C3" s="734"/>
      <c r="D3" s="734"/>
      <c r="E3" s="734"/>
      <c r="F3" s="734"/>
      <c r="G3" s="734"/>
      <c r="H3" s="734"/>
      <c r="I3" s="734"/>
    </row>
    <row r="4" spans="1:10" s="10" customFormat="1" x14ac:dyDescent="0.25">
      <c r="B4" s="734" t="s">
        <v>182</v>
      </c>
      <c r="C4" s="734"/>
      <c r="D4" s="734"/>
      <c r="E4" s="734"/>
      <c r="F4" s="734"/>
      <c r="G4" s="734"/>
      <c r="H4" s="734"/>
      <c r="I4" s="734"/>
    </row>
    <row r="5" spans="1:10" s="10" customFormat="1" ht="15" customHeight="1" x14ac:dyDescent="0.25">
      <c r="A5" s="74"/>
      <c r="B5" s="375" t="s">
        <v>181</v>
      </c>
      <c r="C5" s="453" t="s">
        <v>303</v>
      </c>
      <c r="D5" s="453" t="s">
        <v>529</v>
      </c>
      <c r="E5" s="453" t="s">
        <v>530</v>
      </c>
      <c r="F5" s="453" t="s">
        <v>304</v>
      </c>
      <c r="G5" s="453" t="s">
        <v>305</v>
      </c>
      <c r="H5" s="453" t="s">
        <v>434</v>
      </c>
      <c r="I5" s="453" t="s">
        <v>435</v>
      </c>
    </row>
    <row r="6" spans="1:10" s="10" customFormat="1" ht="16.2" customHeight="1" x14ac:dyDescent="0.25">
      <c r="B6" s="453" t="s">
        <v>188</v>
      </c>
      <c r="C6" s="454">
        <f>49166.93*1.03</f>
        <v>50641.937900000004</v>
      </c>
      <c r="D6" s="454">
        <f>44891.54*1.03</f>
        <v>46238.286200000002</v>
      </c>
      <c r="E6" s="454">
        <f>42753.85*1.03</f>
        <v>44036.465499999998</v>
      </c>
      <c r="F6" s="454">
        <f>41125.14*1.03</f>
        <v>42358.894200000002</v>
      </c>
      <c r="G6" s="454">
        <f>39891.39*1.03</f>
        <v>41088.131699999998</v>
      </c>
      <c r="H6" s="454">
        <f>39068.87*1.03</f>
        <v>40240.936100000006</v>
      </c>
      <c r="I6" s="454">
        <f>45896.43*1.03</f>
        <v>47273.322899999999</v>
      </c>
      <c r="J6" s="32"/>
    </row>
    <row r="7" spans="1:10" s="10" customFormat="1" ht="16.2" customHeight="1" x14ac:dyDescent="0.25">
      <c r="B7" s="36"/>
      <c r="C7" s="36"/>
      <c r="D7" s="36"/>
      <c r="E7" s="36"/>
      <c r="F7" s="36"/>
      <c r="G7" s="40"/>
      <c r="H7" s="453" t="s">
        <v>491</v>
      </c>
      <c r="I7" s="454">
        <f>57182.43*1.03</f>
        <v>58897.902900000001</v>
      </c>
    </row>
    <row r="8" spans="1:10" s="10" customFormat="1" ht="16.2" customHeight="1" x14ac:dyDescent="0.25">
      <c r="B8" s="36"/>
      <c r="C8" s="36"/>
      <c r="D8" s="36"/>
      <c r="E8" s="36"/>
      <c r="F8" s="36"/>
      <c r="G8" s="40"/>
      <c r="H8" s="453" t="s">
        <v>370</v>
      </c>
      <c r="I8" s="454">
        <f>57414.2*1.03</f>
        <v>59136.625999999997</v>
      </c>
    </row>
    <row r="9" spans="1:10" s="10" customFormat="1" x14ac:dyDescent="0.25">
      <c r="B9" s="36"/>
      <c r="C9" s="36"/>
      <c r="D9" s="36"/>
      <c r="E9" s="36"/>
      <c r="F9" s="36"/>
      <c r="G9" s="40"/>
      <c r="H9" s="40"/>
      <c r="I9" s="41"/>
    </row>
    <row r="10" spans="1:10" s="10" customFormat="1" x14ac:dyDescent="0.25">
      <c r="B10" s="36"/>
      <c r="C10" s="36"/>
      <c r="D10" s="36"/>
      <c r="E10" s="36"/>
      <c r="F10" s="36"/>
      <c r="G10" s="40"/>
      <c r="H10" s="40"/>
      <c r="I10" s="41"/>
    </row>
    <row r="11" spans="1:10" s="10" customFormat="1" x14ac:dyDescent="0.25">
      <c r="B11" s="36"/>
      <c r="C11" s="36"/>
      <c r="D11" s="36"/>
      <c r="E11" s="36"/>
      <c r="F11" s="36"/>
      <c r="G11" s="36"/>
      <c r="H11" s="37"/>
      <c r="I11" s="37">
        <v>40634</v>
      </c>
    </row>
    <row r="12" spans="1:10" s="10" customFormat="1" ht="19.95" customHeight="1" x14ac:dyDescent="0.25">
      <c r="B12" s="733" t="s">
        <v>178</v>
      </c>
      <c r="C12" s="733"/>
      <c r="D12" s="733"/>
      <c r="E12" s="733"/>
      <c r="F12" s="733"/>
      <c r="G12" s="733"/>
      <c r="H12" s="733"/>
      <c r="I12" s="733"/>
    </row>
    <row r="13" spans="1:10" s="10" customFormat="1" x14ac:dyDescent="0.25">
      <c r="B13" s="734" t="s">
        <v>499</v>
      </c>
      <c r="C13" s="734"/>
      <c r="D13" s="734"/>
      <c r="E13" s="734"/>
      <c r="F13" s="734"/>
      <c r="G13" s="734"/>
      <c r="H13" s="734"/>
      <c r="I13" s="734"/>
    </row>
    <row r="14" spans="1:10" s="10" customFormat="1" x14ac:dyDescent="0.25">
      <c r="B14" s="734" t="s">
        <v>182</v>
      </c>
      <c r="C14" s="734"/>
      <c r="D14" s="734"/>
      <c r="E14" s="734"/>
      <c r="F14" s="734"/>
      <c r="G14" s="734"/>
      <c r="H14" s="734"/>
      <c r="I14" s="734"/>
    </row>
    <row r="15" spans="1:10" s="10" customFormat="1" x14ac:dyDescent="0.25">
      <c r="B15" s="375" t="s">
        <v>181</v>
      </c>
      <c r="C15" s="453" t="s">
        <v>303</v>
      </c>
      <c r="D15" s="453" t="s">
        <v>529</v>
      </c>
      <c r="E15" s="453" t="s">
        <v>530</v>
      </c>
      <c r="F15" s="453" t="s">
        <v>304</v>
      </c>
      <c r="G15" s="453" t="s">
        <v>305</v>
      </c>
      <c r="H15" s="453" t="s">
        <v>434</v>
      </c>
      <c r="I15" s="453" t="s">
        <v>435</v>
      </c>
    </row>
    <row r="16" spans="1:10" s="10" customFormat="1" ht="15" customHeight="1" x14ac:dyDescent="0.25">
      <c r="A16" s="31"/>
      <c r="B16" s="453" t="s">
        <v>185</v>
      </c>
      <c r="C16" s="454">
        <f>52857.6*1.03</f>
        <v>54443.328000000001</v>
      </c>
      <c r="D16" s="454">
        <f>48261.29*1.03</f>
        <v>49709.128700000001</v>
      </c>
      <c r="E16" s="454">
        <f>47783.46*1.03</f>
        <v>49216.963799999998</v>
      </c>
      <c r="F16" s="454">
        <f>45963.13*1.03</f>
        <v>47342.0239</v>
      </c>
      <c r="G16" s="454">
        <f>44584.23*1.03</f>
        <v>45921.756900000008</v>
      </c>
      <c r="H16" s="454">
        <f>43664.97*1.03</f>
        <v>44974.919099999999</v>
      </c>
      <c r="I16" s="454">
        <f>46632.51*1.03</f>
        <v>48031.4853</v>
      </c>
    </row>
    <row r="17" spans="1:10" s="10" customFormat="1" ht="15.6" customHeight="1" x14ac:dyDescent="0.25">
      <c r="A17" s="31"/>
      <c r="B17" s="24"/>
      <c r="F17" s="24"/>
      <c r="G17" s="40"/>
      <c r="H17" s="453" t="s">
        <v>449</v>
      </c>
      <c r="I17" s="454">
        <f>57827.15*1.03</f>
        <v>59561.964500000002</v>
      </c>
    </row>
    <row r="18" spans="1:10" s="10" customFormat="1" ht="15.6" customHeight="1" x14ac:dyDescent="0.25">
      <c r="B18" s="24"/>
      <c r="F18" s="40"/>
      <c r="G18" s="40"/>
      <c r="H18" s="453" t="s">
        <v>374</v>
      </c>
      <c r="I18" s="454">
        <f>58983.66*1.03</f>
        <v>60753.169800000003</v>
      </c>
    </row>
    <row r="19" spans="1:10" s="10" customFormat="1" ht="12.75" hidden="1" customHeight="1" x14ac:dyDescent="0.25">
      <c r="A19" s="22"/>
      <c r="B19" s="38" t="s">
        <v>184</v>
      </c>
      <c r="C19" s="38"/>
      <c r="D19" s="38"/>
      <c r="E19" s="38"/>
      <c r="F19" s="42" t="e">
        <v>#REF!</v>
      </c>
      <c r="G19" s="51" t="e">
        <v>#REF!</v>
      </c>
      <c r="H19" s="51" t="e">
        <v>#REF!</v>
      </c>
      <c r="I19" s="374" t="e">
        <v>#REF!</v>
      </c>
    </row>
    <row r="21" spans="1:10" s="10" customFormat="1" x14ac:dyDescent="0.25">
      <c r="B21" s="36"/>
      <c r="C21" s="36"/>
      <c r="D21" s="36"/>
      <c r="E21" s="36"/>
      <c r="F21" s="36"/>
      <c r="G21" s="36"/>
      <c r="H21" s="36"/>
    </row>
    <row r="22" spans="1:10" s="10" customFormat="1" x14ac:dyDescent="0.25">
      <c r="A22" s="6"/>
      <c r="B22" s="41"/>
      <c r="C22" s="41"/>
      <c r="D22" s="41"/>
      <c r="E22" s="41"/>
      <c r="F22" s="41"/>
      <c r="G22" s="41"/>
      <c r="H22" s="37">
        <v>40634</v>
      </c>
    </row>
    <row r="23" spans="1:10" s="10" customFormat="1" ht="18.600000000000001" customHeight="1" x14ac:dyDescent="0.25">
      <c r="B23" s="737" t="s">
        <v>179</v>
      </c>
      <c r="C23" s="737"/>
      <c r="D23" s="737"/>
      <c r="E23" s="737"/>
      <c r="F23" s="737"/>
      <c r="G23" s="737"/>
      <c r="H23" s="737"/>
      <c r="I23" s="169"/>
    </row>
    <row r="24" spans="1:10" s="10" customFormat="1" ht="13.2" customHeight="1" x14ac:dyDescent="0.25">
      <c r="B24" s="734" t="s">
        <v>276</v>
      </c>
      <c r="C24" s="734"/>
      <c r="D24" s="734"/>
      <c r="E24" s="734"/>
      <c r="F24" s="734"/>
      <c r="G24" s="734"/>
      <c r="H24" s="734"/>
      <c r="I24" s="45"/>
    </row>
    <row r="25" spans="1:10" s="10" customFormat="1" x14ac:dyDescent="0.25">
      <c r="B25" s="734" t="s">
        <v>84</v>
      </c>
      <c r="C25" s="734"/>
      <c r="D25" s="734"/>
      <c r="E25" s="734"/>
      <c r="F25" s="734"/>
      <c r="G25" s="734"/>
      <c r="H25" s="734"/>
      <c r="I25" s="45"/>
    </row>
    <row r="26" spans="1:10" s="10" customFormat="1" x14ac:dyDescent="0.25">
      <c r="B26" s="453" t="s">
        <v>181</v>
      </c>
      <c r="C26" s="453" t="s">
        <v>419</v>
      </c>
      <c r="D26" s="453" t="s">
        <v>21</v>
      </c>
      <c r="E26" s="453" t="s">
        <v>22</v>
      </c>
      <c r="F26" s="453" t="s">
        <v>304</v>
      </c>
      <c r="G26" s="453" t="s">
        <v>305</v>
      </c>
      <c r="H26" s="453" t="s">
        <v>306</v>
      </c>
    </row>
    <row r="27" spans="1:10" s="10" customFormat="1" ht="16.2" customHeight="1" x14ac:dyDescent="0.25">
      <c r="B27" s="376" t="s">
        <v>180</v>
      </c>
      <c r="C27" s="454">
        <f>65230.28*1.03</f>
        <v>67187.188399999999</v>
      </c>
      <c r="D27" s="454">
        <f>61359.05*1.03</f>
        <v>63199.821500000005</v>
      </c>
      <c r="E27" s="454">
        <f>51207.74*1.03</f>
        <v>52743.972199999997</v>
      </c>
      <c r="F27" s="454">
        <f>46995.88*1.03</f>
        <v>48405.756399999998</v>
      </c>
      <c r="G27" s="454">
        <f>45585.98*1.03</f>
        <v>46953.559400000006</v>
      </c>
      <c r="H27" s="454">
        <f>45585.98*1.03</f>
        <v>46953.559400000006</v>
      </c>
    </row>
    <row r="28" spans="1:10" s="6" customFormat="1" ht="15.6" customHeight="1" x14ac:dyDescent="0.25">
      <c r="A28" s="41"/>
      <c r="B28" s="154"/>
      <c r="C28" s="41"/>
      <c r="D28" s="155"/>
      <c r="E28" s="155"/>
      <c r="F28" s="155"/>
      <c r="G28" s="351" t="s">
        <v>85</v>
      </c>
      <c r="H28" s="454">
        <f>53335.6*1.03</f>
        <v>54935.667999999998</v>
      </c>
      <c r="J28" s="41"/>
    </row>
    <row r="29" spans="1:10" s="10" customFormat="1" x14ac:dyDescent="0.25">
      <c r="B29" s="36"/>
      <c r="D29" s="153"/>
      <c r="E29" s="153"/>
      <c r="F29" s="153"/>
      <c r="G29" s="351" t="s">
        <v>374</v>
      </c>
      <c r="H29" s="454">
        <f>53335.6*1.03</f>
        <v>54935.667999999998</v>
      </c>
    </row>
    <row r="30" spans="1:10" s="10" customFormat="1" ht="13.5" hidden="1" customHeight="1" x14ac:dyDescent="0.25">
      <c r="B30" s="735" t="s">
        <v>186</v>
      </c>
    </row>
    <row r="31" spans="1:10" s="10" customFormat="1" ht="13.2" hidden="1" customHeight="1" x14ac:dyDescent="0.25">
      <c r="B31" s="736"/>
    </row>
    <row r="32" spans="1:10" s="10" customFormat="1" ht="13.2" hidden="1" customHeight="1" x14ac:dyDescent="0.25">
      <c r="B32" s="736"/>
    </row>
    <row r="33" spans="2:9" s="10" customFormat="1" ht="13.2" hidden="1" customHeight="1" x14ac:dyDescent="0.25">
      <c r="B33" s="736"/>
    </row>
    <row r="34" spans="2:9" s="10" customFormat="1" ht="13.2" hidden="1" customHeight="1" x14ac:dyDescent="0.25">
      <c r="B34" s="39" t="s">
        <v>307</v>
      </c>
    </row>
    <row r="35" spans="2:9" x14ac:dyDescent="0.25">
      <c r="B35" s="36"/>
      <c r="C35" s="10"/>
      <c r="D35" s="10"/>
      <c r="E35" s="10"/>
      <c r="F35" s="24"/>
      <c r="G35" s="10"/>
      <c r="H35" s="10"/>
      <c r="I35" s="10"/>
    </row>
    <row r="36" spans="2:9" x14ac:dyDescent="0.25">
      <c r="C36" s="96"/>
      <c r="D36" s="96"/>
      <c r="E36" s="96"/>
      <c r="F36" s="96"/>
      <c r="G36" s="96"/>
      <c r="H36" s="96"/>
      <c r="I36" s="96"/>
    </row>
    <row r="37" spans="2:9" ht="13.8" x14ac:dyDescent="0.25">
      <c r="B37" s="97" t="s">
        <v>296</v>
      </c>
      <c r="D37" s="145"/>
      <c r="I37" s="48"/>
    </row>
    <row r="38" spans="2:9" ht="13.8" x14ac:dyDescent="0.25">
      <c r="B38" s="379" t="s">
        <v>747</v>
      </c>
      <c r="C38" s="452">
        <v>0.2</v>
      </c>
      <c r="D38" s="52"/>
      <c r="E38" s="728" t="s">
        <v>746</v>
      </c>
      <c r="F38" s="732"/>
      <c r="G38" s="729"/>
      <c r="H38" s="452">
        <v>0.05</v>
      </c>
    </row>
    <row r="39" spans="2:9" ht="13.95" customHeight="1" x14ac:dyDescent="0.25">
      <c r="B39" s="379" t="s">
        <v>297</v>
      </c>
      <c r="C39" s="452">
        <v>0.06</v>
      </c>
      <c r="D39" s="52"/>
      <c r="E39" s="728" t="s">
        <v>745</v>
      </c>
      <c r="F39" s="732"/>
      <c r="G39" s="729"/>
      <c r="H39" s="452">
        <v>0.35</v>
      </c>
    </row>
    <row r="40" spans="2:9" ht="13.95" customHeight="1" x14ac:dyDescent="0.25">
      <c r="B40" s="379" t="s">
        <v>299</v>
      </c>
      <c r="C40" s="377">
        <f>1944.18</f>
        <v>1944.18</v>
      </c>
      <c r="D40" s="146"/>
      <c r="E40" s="728" t="s">
        <v>456</v>
      </c>
      <c r="F40" s="732"/>
      <c r="G40" s="729"/>
      <c r="H40" s="452">
        <v>0.01</v>
      </c>
    </row>
    <row r="41" spans="2:9" ht="13.95" customHeight="1" x14ac:dyDescent="0.25">
      <c r="B41" s="380" t="s">
        <v>455</v>
      </c>
      <c r="C41" s="452">
        <v>0.05</v>
      </c>
      <c r="D41" s="52"/>
      <c r="E41" s="728" t="s">
        <v>457</v>
      </c>
      <c r="F41" s="732"/>
      <c r="G41" s="729"/>
      <c r="H41" s="452">
        <v>0.01</v>
      </c>
    </row>
    <row r="42" spans="2:9" ht="13.95" customHeight="1" x14ac:dyDescent="0.25">
      <c r="B42" s="730" t="s">
        <v>298</v>
      </c>
      <c r="C42" s="731">
        <v>0.1</v>
      </c>
      <c r="D42" s="52"/>
      <c r="E42" s="728" t="s">
        <v>458</v>
      </c>
      <c r="F42" s="729"/>
      <c r="G42" s="729"/>
      <c r="H42" s="452">
        <v>0.02</v>
      </c>
    </row>
    <row r="43" spans="2:9" ht="13.95" customHeight="1" x14ac:dyDescent="0.25">
      <c r="B43" s="730"/>
      <c r="C43" s="731"/>
      <c r="D43" s="147"/>
      <c r="E43" s="728" t="s">
        <v>459</v>
      </c>
      <c r="F43" s="729"/>
      <c r="G43" s="729"/>
      <c r="H43" s="452">
        <v>0.02</v>
      </c>
    </row>
    <row r="44" spans="2:9" ht="27.6" customHeight="1" x14ac:dyDescent="0.25">
      <c r="B44" s="381" t="s">
        <v>533</v>
      </c>
      <c r="C44" s="452" t="s">
        <v>535</v>
      </c>
      <c r="D44" s="52"/>
      <c r="E44" s="728" t="s">
        <v>460</v>
      </c>
      <c r="F44" s="729"/>
      <c r="G44" s="729"/>
      <c r="H44" s="378">
        <v>0.1</v>
      </c>
    </row>
    <row r="45" spans="2:9" ht="27.6" customHeight="1" x14ac:dyDescent="0.25">
      <c r="B45" s="381" t="s">
        <v>534</v>
      </c>
      <c r="C45" s="452" t="s">
        <v>536</v>
      </c>
      <c r="D45" s="52"/>
      <c r="E45" s="728" t="s">
        <v>53</v>
      </c>
      <c r="F45" s="729"/>
      <c r="G45" s="729"/>
      <c r="H45" s="378">
        <v>0.2</v>
      </c>
    </row>
  </sheetData>
  <mergeCells count="20">
    <mergeCell ref="E39:G39"/>
    <mergeCell ref="E40:G40"/>
    <mergeCell ref="E41:G41"/>
    <mergeCell ref="B2:I2"/>
    <mergeCell ref="B3:I3"/>
    <mergeCell ref="B4:I4"/>
    <mergeCell ref="B12:I12"/>
    <mergeCell ref="B30:B33"/>
    <mergeCell ref="B13:I13"/>
    <mergeCell ref="B14:I14"/>
    <mergeCell ref="B25:H25"/>
    <mergeCell ref="B24:H24"/>
    <mergeCell ref="B23:H23"/>
    <mergeCell ref="E38:G38"/>
    <mergeCell ref="E45:G45"/>
    <mergeCell ref="B42:B43"/>
    <mergeCell ref="C42:C43"/>
    <mergeCell ref="E42:G42"/>
    <mergeCell ref="E43:G43"/>
    <mergeCell ref="E44:G44"/>
  </mergeCells>
  <phoneticPr fontId="0" type="noConversion"/>
  <hyperlinks>
    <hyperlink ref="J1" location="'3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K89"/>
  <sheetViews>
    <sheetView view="pageBreakPreview" zoomScale="85" zoomScaleNormal="65" zoomScaleSheetLayoutView="75" workbookViewId="0">
      <pane ySplit="4" topLeftCell="A5" activePane="bottomLeft" state="frozen"/>
      <selection pane="bottomLeft" activeCell="A5" sqref="A5"/>
    </sheetView>
  </sheetViews>
  <sheetFormatPr defaultColWidth="8.88671875" defaultRowHeight="13.8" x14ac:dyDescent="0.25"/>
  <cols>
    <col min="1" max="1" width="10.6640625" style="24" bestFit="1" customWidth="1"/>
    <col min="2" max="2" width="13.6640625" style="69" customWidth="1"/>
    <col min="3" max="3" width="11.44140625" style="65" customWidth="1"/>
    <col min="4" max="4" width="19.44140625" style="69" customWidth="1"/>
    <col min="5" max="5" width="20.5546875" style="77" customWidth="1"/>
    <col min="6" max="6" width="19" style="78" customWidth="1"/>
    <col min="7" max="7" width="19.109375" style="78" customWidth="1"/>
    <col min="8" max="8" width="10.6640625" style="78" bestFit="1" customWidth="1"/>
    <col min="9" max="16384" width="8.88671875" style="78"/>
  </cols>
  <sheetData>
    <row r="1" spans="1:8" x14ac:dyDescent="0.25">
      <c r="B1" s="495"/>
      <c r="C1" s="495"/>
      <c r="D1" s="55"/>
      <c r="G1" s="239">
        <v>41091</v>
      </c>
      <c r="H1" s="54" t="s">
        <v>466</v>
      </c>
    </row>
    <row r="2" spans="1:8" ht="15" customHeight="1" x14ac:dyDescent="0.25">
      <c r="B2" s="744" t="s">
        <v>309</v>
      </c>
      <c r="C2" s="744"/>
      <c r="D2" s="745" t="s">
        <v>276</v>
      </c>
      <c r="E2" s="745"/>
      <c r="F2" s="745"/>
      <c r="G2" s="745"/>
    </row>
    <row r="3" spans="1:8" x14ac:dyDescent="0.25">
      <c r="B3" s="746" t="s">
        <v>310</v>
      </c>
      <c r="C3" s="746" t="s">
        <v>311</v>
      </c>
      <c r="D3" s="744" t="s">
        <v>447</v>
      </c>
      <c r="E3" s="744"/>
      <c r="F3" s="744" t="s">
        <v>448</v>
      </c>
      <c r="G3" s="744"/>
    </row>
    <row r="4" spans="1:8" ht="16.2" customHeight="1" x14ac:dyDescent="0.25">
      <c r="B4" s="746"/>
      <c r="C4" s="746"/>
      <c r="D4" s="387" t="s">
        <v>262</v>
      </c>
      <c r="E4" s="387" t="s">
        <v>327</v>
      </c>
      <c r="F4" s="387" t="s">
        <v>262</v>
      </c>
      <c r="G4" s="387" t="s">
        <v>327</v>
      </c>
    </row>
    <row r="5" spans="1:8" ht="13.95" customHeight="1" x14ac:dyDescent="0.25">
      <c r="B5" s="738"/>
      <c r="C5" s="738"/>
      <c r="D5" s="738"/>
      <c r="E5" s="738"/>
    </row>
    <row r="6" spans="1:8" ht="14.4" customHeight="1" x14ac:dyDescent="0.25">
      <c r="B6" s="739" t="s">
        <v>521</v>
      </c>
      <c r="C6" s="739"/>
      <c r="D6" s="740" t="s">
        <v>375</v>
      </c>
      <c r="E6" s="740"/>
      <c r="F6" s="740"/>
      <c r="G6" s="740"/>
    </row>
    <row r="7" spans="1:8" ht="14.4" customHeight="1" x14ac:dyDescent="0.25">
      <c r="B7" s="739"/>
      <c r="C7" s="739"/>
      <c r="D7" s="740"/>
      <c r="E7" s="740"/>
      <c r="F7" s="740"/>
      <c r="G7" s="740"/>
    </row>
    <row r="8" spans="1:8" x14ac:dyDescent="0.25">
      <c r="A8" s="92"/>
      <c r="B8" s="742" t="s">
        <v>312</v>
      </c>
      <c r="C8" s="382" t="s">
        <v>55</v>
      </c>
      <c r="D8" s="496">
        <f>71635.87*1.03</f>
        <v>73784.946100000001</v>
      </c>
      <c r="E8" s="496">
        <f>80539.3*1.03</f>
        <v>82955.479000000007</v>
      </c>
      <c r="F8" s="496">
        <f>88357.06*1.03</f>
        <v>91007.771800000002</v>
      </c>
      <c r="G8" s="496">
        <f>96873.62*1.03</f>
        <v>99779.828599999993</v>
      </c>
      <c r="H8" s="111"/>
    </row>
    <row r="9" spans="1:8" x14ac:dyDescent="0.25">
      <c r="A9" s="148"/>
      <c r="B9" s="742"/>
      <c r="C9" s="383" t="s">
        <v>826</v>
      </c>
      <c r="D9" s="496">
        <f>65697.76*1.03</f>
        <v>67668.69279999999</v>
      </c>
      <c r="E9" s="496">
        <f>74752.38*1.03</f>
        <v>76994.951400000005</v>
      </c>
      <c r="F9" s="496">
        <f>81509.48*1.03</f>
        <v>83954.7644</v>
      </c>
      <c r="G9" s="496">
        <f>90026.05*1.03</f>
        <v>92726.8315</v>
      </c>
      <c r="H9" s="111"/>
    </row>
    <row r="10" spans="1:8" x14ac:dyDescent="0.25">
      <c r="A10" s="149"/>
      <c r="B10" s="742" t="s">
        <v>313</v>
      </c>
      <c r="C10" s="382" t="s">
        <v>827</v>
      </c>
      <c r="D10" s="496">
        <f>69871.67*1.03</f>
        <v>71967.820099999997</v>
      </c>
      <c r="E10" s="496">
        <f>78846.8*1.03</f>
        <v>81212.203999999998</v>
      </c>
      <c r="F10" s="496">
        <f>87462.56*1.03</f>
        <v>90086.436799999996</v>
      </c>
      <c r="G10" s="496">
        <f>95979.12*1.03</f>
        <v>98858.493600000002</v>
      </c>
      <c r="H10" s="111"/>
    </row>
    <row r="11" spans="1:8" x14ac:dyDescent="0.25">
      <c r="A11" s="148"/>
      <c r="B11" s="742"/>
      <c r="C11" s="382" t="s">
        <v>831</v>
      </c>
      <c r="D11" s="496">
        <f>68177.18*1.03</f>
        <v>70222.4954</v>
      </c>
      <c r="E11" s="496">
        <f>77184.57*1.03</f>
        <v>79500.107100000008</v>
      </c>
      <c r="F11" s="496">
        <f>87462.56*1.03</f>
        <v>90086.436799999996</v>
      </c>
      <c r="G11" s="496">
        <f>95979.12*1.03</f>
        <v>98858.493600000002</v>
      </c>
      <c r="H11" s="111"/>
    </row>
    <row r="12" spans="1:8" x14ac:dyDescent="0.25">
      <c r="A12" s="70"/>
      <c r="B12" s="742" t="s">
        <v>315</v>
      </c>
      <c r="C12" s="382" t="s">
        <v>828</v>
      </c>
      <c r="D12" s="496">
        <f>66401.65*1.03</f>
        <v>68393.699500000002</v>
      </c>
      <c r="E12" s="496">
        <f>75442.86*1.03</f>
        <v>77706.145799999998</v>
      </c>
      <c r="F12" s="496">
        <f>82945.15*1.03</f>
        <v>85433.504499999995</v>
      </c>
      <c r="G12" s="496">
        <f>91461.69*1.03</f>
        <v>94205.540699999998</v>
      </c>
      <c r="H12" s="111"/>
    </row>
    <row r="13" spans="1:8" x14ac:dyDescent="0.25">
      <c r="A13" s="70"/>
      <c r="B13" s="742"/>
      <c r="C13" s="382" t="s">
        <v>317</v>
      </c>
      <c r="D13" s="496">
        <f>64007.75*1.03</f>
        <v>65927.982499999998</v>
      </c>
      <c r="E13" s="496">
        <f>73094.57*1.03</f>
        <v>75287.407100000011</v>
      </c>
      <c r="F13" s="496">
        <f>82945.15*1.03</f>
        <v>85433.504499999995</v>
      </c>
      <c r="G13" s="496">
        <f>91461.69*1.03</f>
        <v>94205.540699999998</v>
      </c>
      <c r="H13" s="111"/>
    </row>
    <row r="14" spans="1:8" x14ac:dyDescent="0.25">
      <c r="A14" s="70"/>
      <c r="B14" s="742" t="s">
        <v>316</v>
      </c>
      <c r="C14" s="382" t="s">
        <v>314</v>
      </c>
      <c r="D14" s="496">
        <f>65217.49*1.03</f>
        <v>67174.0147</v>
      </c>
      <c r="E14" s="496">
        <f>74281.25*1.03</f>
        <v>76509.6875</v>
      </c>
      <c r="F14" s="496">
        <f>80207.67*1.03</f>
        <v>82613.900099999999</v>
      </c>
      <c r="G14" s="496">
        <f>88724.23*1.03</f>
        <v>91385.956900000005</v>
      </c>
      <c r="H14" s="111"/>
    </row>
    <row r="15" spans="1:8" x14ac:dyDescent="0.25">
      <c r="A15" s="70"/>
      <c r="B15" s="743"/>
      <c r="C15" s="382" t="s">
        <v>317</v>
      </c>
      <c r="D15" s="496">
        <f>64208.89*1.03</f>
        <v>66135.156700000007</v>
      </c>
      <c r="E15" s="496">
        <f>73291.85*1.03</f>
        <v>75490.605500000005</v>
      </c>
      <c r="F15" s="496">
        <f>80207.67*1.03</f>
        <v>82613.900099999999</v>
      </c>
      <c r="G15" s="496">
        <f>88724.23*1.03</f>
        <v>91385.956900000005</v>
      </c>
      <c r="H15" s="111"/>
    </row>
    <row r="16" spans="1:8" x14ac:dyDescent="0.25">
      <c r="A16" s="70"/>
      <c r="B16" s="384" t="s">
        <v>318</v>
      </c>
      <c r="C16" s="385" t="s">
        <v>76</v>
      </c>
      <c r="D16" s="496">
        <f>56778.04*1.03</f>
        <v>58481.381200000003</v>
      </c>
      <c r="E16" s="496">
        <f>66002.57*1.03</f>
        <v>67982.647100000002</v>
      </c>
      <c r="F16" s="496">
        <f>72116.96*1.03</f>
        <v>74280.468800000002</v>
      </c>
      <c r="G16" s="496">
        <f>80633.52*1.03</f>
        <v>83052.525600000008</v>
      </c>
      <c r="H16" s="111"/>
    </row>
    <row r="17" spans="1:8" x14ac:dyDescent="0.25">
      <c r="A17" s="92"/>
      <c r="B17" s="742" t="s">
        <v>319</v>
      </c>
      <c r="C17" s="385" t="s">
        <v>829</v>
      </c>
      <c r="D17" s="496">
        <f>54024.17*1.03</f>
        <v>55644.895100000002</v>
      </c>
      <c r="E17" s="496">
        <f>63000.98*1.03</f>
        <v>64891.009400000003</v>
      </c>
      <c r="F17" s="496">
        <f>74095.22*1.03</f>
        <v>76318.0766</v>
      </c>
      <c r="G17" s="496">
        <f>82611.78*1.03</f>
        <v>85090.133400000006</v>
      </c>
      <c r="H17" s="111"/>
    </row>
    <row r="18" spans="1:8" ht="13.2" customHeight="1" x14ac:dyDescent="0.25">
      <c r="A18" s="148"/>
      <c r="B18" s="742"/>
      <c r="C18" s="386" t="s">
        <v>731</v>
      </c>
      <c r="D18" s="496">
        <f>52964.82*1.03</f>
        <v>54553.764600000002</v>
      </c>
      <c r="E18" s="496">
        <f>61961.79*1.03</f>
        <v>63820.643700000001</v>
      </c>
      <c r="F18" s="496">
        <f>73253.31*1.03</f>
        <v>75450.909299999999</v>
      </c>
      <c r="G18" s="496">
        <f>81769.86*1.03</f>
        <v>84222.955799999996</v>
      </c>
      <c r="H18" s="111"/>
    </row>
    <row r="19" spans="1:8" ht="13.2" customHeight="1" x14ac:dyDescent="0.25">
      <c r="B19" s="386" t="s">
        <v>320</v>
      </c>
      <c r="C19" s="386" t="s">
        <v>385</v>
      </c>
      <c r="D19" s="496">
        <f>55668.91*1.03</f>
        <v>57338.977300000006</v>
      </c>
      <c r="E19" s="496">
        <f>64914.54*1.03</f>
        <v>66861.976200000005</v>
      </c>
      <c r="F19" s="496">
        <f>75042.99*1.03</f>
        <v>77294.279700000014</v>
      </c>
      <c r="G19" s="496">
        <f>83559.55*1.03</f>
        <v>86066.336500000005</v>
      </c>
      <c r="H19" s="111"/>
    </row>
    <row r="20" spans="1:8" ht="13.2" customHeight="1" x14ac:dyDescent="0.25">
      <c r="B20" s="386" t="s">
        <v>321</v>
      </c>
      <c r="C20" s="386" t="s">
        <v>833</v>
      </c>
      <c r="D20" s="496">
        <f>52043.89*1.03</f>
        <v>53605.206700000002</v>
      </c>
      <c r="E20" s="496">
        <f>61058.39*1.03</f>
        <v>62890.1417</v>
      </c>
      <c r="F20" s="496">
        <f>72775.17*1.03</f>
        <v>74958.425099999993</v>
      </c>
      <c r="G20" s="496">
        <f>81291.72*1.03</f>
        <v>83730.471600000004</v>
      </c>
      <c r="H20" s="111"/>
    </row>
    <row r="21" spans="1:8" ht="13.2" customHeight="1" x14ac:dyDescent="0.25">
      <c r="B21" s="386" t="s">
        <v>322</v>
      </c>
      <c r="C21" s="386" t="s">
        <v>830</v>
      </c>
      <c r="D21" s="496">
        <f>54406.68*1.03</f>
        <v>56038.880400000002</v>
      </c>
      <c r="E21" s="496">
        <f>63676.34*1.03</f>
        <v>65586.6302</v>
      </c>
      <c r="F21" s="496">
        <f>74650.02*1.03</f>
        <v>76889.520600000003</v>
      </c>
      <c r="G21" s="496">
        <f>83166.57*1.03</f>
        <v>85661.567100000015</v>
      </c>
      <c r="H21" s="111"/>
    </row>
    <row r="22" spans="1:8" ht="13.95" customHeight="1" x14ac:dyDescent="0.25">
      <c r="B22" s="386" t="s">
        <v>323</v>
      </c>
      <c r="C22" s="386" t="s">
        <v>806</v>
      </c>
      <c r="D22" s="496">
        <f>54384.16*1.05</f>
        <v>57103.368000000009</v>
      </c>
      <c r="E22" s="496">
        <f>63654.29*1.05</f>
        <v>66837.00450000001</v>
      </c>
      <c r="F22" s="496">
        <f>74114.7*1.03</f>
        <v>76338.141000000003</v>
      </c>
      <c r="G22" s="496">
        <f>82631.24*1.03</f>
        <v>85110.177200000006</v>
      </c>
      <c r="H22" s="111"/>
    </row>
    <row r="23" spans="1:8" ht="13.95" customHeight="1" x14ac:dyDescent="0.25">
      <c r="B23" s="386" t="s">
        <v>325</v>
      </c>
      <c r="C23" s="386" t="s">
        <v>830</v>
      </c>
      <c r="D23" s="496">
        <f>54083.98*1.05</f>
        <v>56788.179000000004</v>
      </c>
      <c r="E23" s="496">
        <f>64951.43*1.05</f>
        <v>68199.001499999998</v>
      </c>
      <c r="F23" s="496">
        <f>70526.79*1.03</f>
        <v>72642.593699999998</v>
      </c>
      <c r="G23" s="496">
        <f>79043.33*1.03</f>
        <v>81414.6299</v>
      </c>
      <c r="H23" s="111"/>
    </row>
    <row r="24" spans="1:8" ht="13.95" customHeight="1" x14ac:dyDescent="0.25">
      <c r="B24" s="386" t="s">
        <v>591</v>
      </c>
      <c r="C24" s="386" t="s">
        <v>830</v>
      </c>
      <c r="D24" s="496">
        <f>54083.98*1.05</f>
        <v>56788.179000000004</v>
      </c>
      <c r="E24" s="496">
        <f>64951.43*1.05</f>
        <v>68199.001499999998</v>
      </c>
      <c r="F24" s="496">
        <f>70526.79*1.03</f>
        <v>72642.593699999998</v>
      </c>
      <c r="G24" s="496">
        <f>79043.33*1.03</f>
        <v>81414.6299</v>
      </c>
      <c r="H24" s="111"/>
    </row>
    <row r="25" spans="1:8" ht="13.95" customHeight="1" x14ac:dyDescent="0.25">
      <c r="B25" s="232" t="s">
        <v>721</v>
      </c>
      <c r="C25" s="495"/>
      <c r="D25" s="55"/>
      <c r="E25" s="55"/>
      <c r="F25" s="55"/>
      <c r="G25" s="55"/>
      <c r="H25" s="111"/>
    </row>
    <row r="26" spans="1:8" ht="13.95" customHeight="1" x14ac:dyDescent="0.25">
      <c r="B26" s="95"/>
      <c r="C26" s="495"/>
      <c r="D26" s="495"/>
      <c r="E26" s="495"/>
      <c r="F26" s="79"/>
    </row>
    <row r="27" spans="1:8" ht="13.95" customHeight="1" x14ac:dyDescent="0.25">
      <c r="B27" s="739" t="s">
        <v>381</v>
      </c>
      <c r="C27" s="739"/>
      <c r="D27" s="740" t="s">
        <v>382</v>
      </c>
      <c r="E27" s="740"/>
      <c r="F27" s="740"/>
      <c r="G27" s="740"/>
    </row>
    <row r="28" spans="1:8" x14ac:dyDescent="0.25">
      <c r="B28" s="739"/>
      <c r="C28" s="739"/>
      <c r="D28" s="740"/>
      <c r="E28" s="740"/>
      <c r="F28" s="740"/>
      <c r="G28" s="740"/>
    </row>
    <row r="29" spans="1:8" ht="13.2" customHeight="1" x14ac:dyDescent="0.25">
      <c r="B29" s="742" t="s">
        <v>312</v>
      </c>
      <c r="C29" s="386" t="s">
        <v>706</v>
      </c>
      <c r="D29" s="496">
        <f>78257.05*1.03</f>
        <v>80604.761500000008</v>
      </c>
      <c r="E29" s="496">
        <f>87072.46*1.03</f>
        <v>89684.633800000011</v>
      </c>
      <c r="F29" s="496">
        <f>96838.49*1.03</f>
        <v>99743.644700000004</v>
      </c>
      <c r="G29" s="496">
        <f>105354.72*1.03</f>
        <v>108515.3616</v>
      </c>
      <c r="H29" s="111"/>
    </row>
    <row r="30" spans="1:8" ht="13.2" customHeight="1" x14ac:dyDescent="0.25">
      <c r="B30" s="742"/>
      <c r="C30" s="386" t="s">
        <v>707</v>
      </c>
      <c r="D30" s="496">
        <f>76358.45*1.03</f>
        <v>78649.203500000003</v>
      </c>
      <c r="E30" s="496">
        <f>85210.01*1.03</f>
        <v>87766.310299999997</v>
      </c>
      <c r="F30" s="496">
        <f>94551.01*1.03</f>
        <v>97387.540299999993</v>
      </c>
      <c r="G30" s="496">
        <f>103067.24*1.03</f>
        <v>106159.25720000001</v>
      </c>
      <c r="H30" s="111"/>
    </row>
    <row r="31" spans="1:8" ht="13.2" customHeight="1" x14ac:dyDescent="0.25">
      <c r="B31" s="742" t="s">
        <v>313</v>
      </c>
      <c r="C31" s="386" t="s">
        <v>383</v>
      </c>
      <c r="D31" s="496">
        <f>78257.05*1.03</f>
        <v>80604.761500000008</v>
      </c>
      <c r="E31" s="496">
        <f>87072.46*1.03</f>
        <v>89684.633800000011</v>
      </c>
      <c r="F31" s="496">
        <f>97958.07*1.03</f>
        <v>100896.81210000001</v>
      </c>
      <c r="G31" s="496">
        <f>106474.3*1.03</f>
        <v>109668.52900000001</v>
      </c>
      <c r="H31" s="111"/>
    </row>
    <row r="32" spans="1:8" ht="13.2" customHeight="1" x14ac:dyDescent="0.25">
      <c r="B32" s="742"/>
      <c r="C32" s="386" t="s">
        <v>384</v>
      </c>
      <c r="D32" s="496">
        <f>76358.45*1.03</f>
        <v>78649.203500000003</v>
      </c>
      <c r="E32" s="496">
        <f>85210.01*1.03</f>
        <v>87766.310299999997</v>
      </c>
      <c r="F32" s="496">
        <f>97958.07*1.03</f>
        <v>100896.81210000001</v>
      </c>
      <c r="G32" s="496">
        <f>106474.3*1.03</f>
        <v>109668.52900000001</v>
      </c>
      <c r="H32" s="111"/>
    </row>
    <row r="33" spans="2:8" ht="13.2" customHeight="1" x14ac:dyDescent="0.25">
      <c r="B33" s="493" t="s">
        <v>315</v>
      </c>
      <c r="C33" s="386" t="s">
        <v>385</v>
      </c>
      <c r="D33" s="496">
        <f>71687.73*1.03</f>
        <v>73838.361900000004</v>
      </c>
      <c r="E33" s="496">
        <f>80628.25*1.03</f>
        <v>83047.097500000003</v>
      </c>
      <c r="F33" s="496">
        <f>92898.55*1.03</f>
        <v>95685.506500000003</v>
      </c>
      <c r="G33" s="496">
        <f>101414.79*1.03</f>
        <v>104457.2337</v>
      </c>
      <c r="H33" s="111"/>
    </row>
    <row r="34" spans="2:8" ht="13.95" customHeight="1" x14ac:dyDescent="0.25">
      <c r="B34" s="742" t="s">
        <v>316</v>
      </c>
      <c r="C34" s="386" t="s">
        <v>386</v>
      </c>
      <c r="D34" s="496">
        <f>73043.02*1.03</f>
        <v>75234.310600000012</v>
      </c>
      <c r="E34" s="496">
        <f>81957.72*1.03</f>
        <v>84416.4516</v>
      </c>
      <c r="F34" s="496">
        <f>89832.6*1.03</f>
        <v>92527.578000000009</v>
      </c>
      <c r="G34" s="496">
        <f>98348.83*1.03</f>
        <v>101299.29490000001</v>
      </c>
      <c r="H34" s="111"/>
    </row>
    <row r="35" spans="2:8" ht="13.2" customHeight="1" x14ac:dyDescent="0.25">
      <c r="B35" s="743"/>
      <c r="C35" s="386" t="s">
        <v>387</v>
      </c>
      <c r="D35" s="496">
        <f>71912.88*1.03</f>
        <v>74070.266400000008</v>
      </c>
      <c r="E35" s="496">
        <f>80849.09*1.03</f>
        <v>83274.562699999995</v>
      </c>
      <c r="F35" s="496">
        <f>89832.6*1.03</f>
        <v>92527.578000000009</v>
      </c>
      <c r="G35" s="496">
        <f>98348.83*1.03</f>
        <v>101299.29490000001</v>
      </c>
      <c r="H35" s="111"/>
    </row>
    <row r="36" spans="2:8" ht="13.2" customHeight="1" x14ac:dyDescent="0.25">
      <c r="B36" s="493" t="s">
        <v>318</v>
      </c>
      <c r="C36" s="386" t="s">
        <v>376</v>
      </c>
      <c r="D36" s="496">
        <f>62455.86*1.03</f>
        <v>64329.535800000005</v>
      </c>
      <c r="E36" s="496">
        <f>71572.22*1.03</f>
        <v>73719.386599999998</v>
      </c>
      <c r="F36" s="496">
        <f>79328.64*1.03</f>
        <v>81708.499200000006</v>
      </c>
      <c r="G36" s="496">
        <f>87844.87*1.03</f>
        <v>90480.216099999991</v>
      </c>
      <c r="H36" s="111"/>
    </row>
    <row r="37" spans="2:8" ht="13.2" customHeight="1" x14ac:dyDescent="0.25">
      <c r="B37" s="493" t="s">
        <v>319</v>
      </c>
      <c r="C37" s="386" t="s">
        <v>377</v>
      </c>
      <c r="D37" s="496">
        <f>60009.44*1.03</f>
        <v>61809.723200000008</v>
      </c>
      <c r="E37" s="496">
        <f>69172.4*1.03</f>
        <v>71247.572</v>
      </c>
      <c r="F37" s="496">
        <f>80578.64*1.03</f>
        <v>82995.999200000006</v>
      </c>
      <c r="G37" s="496">
        <f>89094.87*1.03</f>
        <v>91767.716099999991</v>
      </c>
      <c r="H37" s="111"/>
    </row>
    <row r="38" spans="2:8" ht="13.2" customHeight="1" x14ac:dyDescent="0.25">
      <c r="B38" s="386" t="s">
        <v>320</v>
      </c>
      <c r="C38" s="386" t="s">
        <v>378</v>
      </c>
      <c r="D38" s="496">
        <f>61237.15*1.03</f>
        <v>63074.264500000005</v>
      </c>
      <c r="E38" s="496">
        <f>70376.72*1.03</f>
        <v>72488.021600000007</v>
      </c>
      <c r="F38" s="496">
        <f>82547.3*1.03</f>
        <v>85023.719000000012</v>
      </c>
      <c r="G38" s="496">
        <f>91063.53*1.03</f>
        <v>93795.435899999997</v>
      </c>
      <c r="H38" s="111"/>
    </row>
    <row r="39" spans="2:8" ht="13.2" customHeight="1" x14ac:dyDescent="0.25">
      <c r="B39" s="386" t="s">
        <v>321</v>
      </c>
      <c r="C39" s="386" t="s">
        <v>379</v>
      </c>
      <c r="D39" s="496">
        <f>58964.84*1.03</f>
        <v>60733.785199999998</v>
      </c>
      <c r="E39" s="496">
        <f>68147.7*1.03</f>
        <v>70192.130999999994</v>
      </c>
      <c r="F39" s="496">
        <f>80052.68*1.03</f>
        <v>82454.260399999999</v>
      </c>
      <c r="G39" s="496">
        <f>88568.9*1.03</f>
        <v>91225.96699999999</v>
      </c>
      <c r="H39" s="111"/>
    </row>
    <row r="40" spans="2:8" ht="13.2" customHeight="1" x14ac:dyDescent="0.25">
      <c r="B40" s="386" t="s">
        <v>322</v>
      </c>
      <c r="C40" s="386" t="s">
        <v>380</v>
      </c>
      <c r="D40" s="496">
        <f>59847.34*1.03</f>
        <v>61642.760199999997</v>
      </c>
      <c r="E40" s="496">
        <f>69013.4*1.03</f>
        <v>71083.801999999996</v>
      </c>
      <c r="F40" s="496">
        <f>82115.03*1.03</f>
        <v>84578.480899999995</v>
      </c>
      <c r="G40" s="496">
        <f>90631.25*1.03</f>
        <v>93350.1875</v>
      </c>
      <c r="H40" s="111"/>
    </row>
    <row r="41" spans="2:8" ht="13.2" customHeight="1" x14ac:dyDescent="0.25">
      <c r="B41" s="386" t="s">
        <v>323</v>
      </c>
      <c r="C41" s="386" t="s">
        <v>708</v>
      </c>
      <c r="D41" s="496">
        <f>59847.34*1.05</f>
        <v>62839.707000000002</v>
      </c>
      <c r="E41" s="496">
        <f>69013.4*1.05</f>
        <v>72464.069999999992</v>
      </c>
      <c r="F41" s="496">
        <f>81526.16*1.03</f>
        <v>83971.944800000012</v>
      </c>
      <c r="G41" s="496">
        <f>90042.39*1.03</f>
        <v>92743.661699999997</v>
      </c>
      <c r="H41" s="111"/>
    </row>
    <row r="42" spans="2:8" ht="13.95" customHeight="1" x14ac:dyDescent="0.25">
      <c r="B42" s="738"/>
      <c r="C42" s="738"/>
      <c r="D42" s="738"/>
      <c r="E42" s="738"/>
      <c r="F42" s="79"/>
    </row>
    <row r="43" spans="2:8" ht="13.95" customHeight="1" x14ac:dyDescent="0.25">
      <c r="B43" s="739" t="s">
        <v>388</v>
      </c>
      <c r="C43" s="739"/>
      <c r="D43" s="741" t="s">
        <v>495</v>
      </c>
      <c r="E43" s="577"/>
    </row>
    <row r="44" spans="2:8" ht="42.6" customHeight="1" x14ac:dyDescent="0.25">
      <c r="B44" s="739"/>
      <c r="C44" s="739"/>
      <c r="D44" s="577"/>
      <c r="E44" s="577"/>
      <c r="F44" s="464"/>
      <c r="G44" s="464"/>
    </row>
    <row r="45" spans="2:8" ht="13.2" customHeight="1" x14ac:dyDescent="0.25">
      <c r="B45" s="742" t="s">
        <v>312</v>
      </c>
      <c r="C45" s="382" t="s">
        <v>77</v>
      </c>
      <c r="D45" s="496">
        <f>68481.87*1.03</f>
        <v>70536.326099999991</v>
      </c>
      <c r="E45" s="496">
        <f>77483.46*1.03</f>
        <v>79807.963800000012</v>
      </c>
      <c r="H45" s="111"/>
    </row>
    <row r="46" spans="2:8" ht="13.2" customHeight="1" x14ac:dyDescent="0.25">
      <c r="B46" s="742"/>
      <c r="C46" s="382" t="s">
        <v>326</v>
      </c>
      <c r="D46" s="496">
        <f>61099.06*1.03</f>
        <v>62932.031799999997</v>
      </c>
      <c r="E46" s="496">
        <f>70241.28*1.03</f>
        <v>72348.518400000001</v>
      </c>
      <c r="H46" s="111"/>
    </row>
    <row r="47" spans="2:8" ht="13.2" customHeight="1" x14ac:dyDescent="0.25">
      <c r="B47" s="742" t="s">
        <v>313</v>
      </c>
      <c r="C47" s="382" t="s">
        <v>490</v>
      </c>
      <c r="D47" s="496">
        <f>64980.33*1.03</f>
        <v>66929.7399</v>
      </c>
      <c r="E47" s="496">
        <f>74048.61*1.03</f>
        <v>76270.068299999999</v>
      </c>
      <c r="H47" s="111"/>
    </row>
    <row r="48" spans="2:8" ht="13.2" customHeight="1" x14ac:dyDescent="0.25">
      <c r="B48" s="742"/>
      <c r="C48" s="382" t="s">
        <v>20</v>
      </c>
      <c r="D48" s="496">
        <f>63404.42*1.03</f>
        <v>65306.552600000003</v>
      </c>
      <c r="E48" s="496">
        <f>72502.71*1.03</f>
        <v>74677.791300000012</v>
      </c>
      <c r="F48" s="78" t="s">
        <v>630</v>
      </c>
      <c r="H48" s="111"/>
    </row>
    <row r="49" spans="1:11" ht="13.95" customHeight="1" x14ac:dyDescent="0.25">
      <c r="B49" s="742" t="s">
        <v>315</v>
      </c>
      <c r="C49" s="386" t="s">
        <v>78</v>
      </c>
      <c r="D49" s="496">
        <f>61753.46*1.03</f>
        <v>63606.063800000004</v>
      </c>
      <c r="E49" s="496">
        <f>70883.19*1.03</f>
        <v>73009.685700000002</v>
      </c>
      <c r="H49" s="111"/>
    </row>
    <row r="50" spans="1:11" ht="13.95" customHeight="1" x14ac:dyDescent="0.25">
      <c r="A50" s="139"/>
      <c r="B50" s="742"/>
      <c r="C50" s="382" t="s">
        <v>317</v>
      </c>
      <c r="D50" s="496">
        <f>59527.66*1.03</f>
        <v>61313.489800000003</v>
      </c>
      <c r="E50" s="496">
        <f>68699.8*1.03</f>
        <v>70760.794000000009</v>
      </c>
      <c r="F50" s="55"/>
      <c r="G50" s="55"/>
      <c r="H50" s="111"/>
    </row>
    <row r="51" spans="1:11" ht="13.95" customHeight="1" x14ac:dyDescent="0.25">
      <c r="A51" s="139"/>
      <c r="B51" s="742" t="s">
        <v>316</v>
      </c>
      <c r="C51" s="386" t="s">
        <v>78</v>
      </c>
      <c r="D51" s="496">
        <f>60651.82*1.03</f>
        <v>62471.374600000003</v>
      </c>
      <c r="E51" s="496">
        <f>69802.53*1.03</f>
        <v>71896.605899999995</v>
      </c>
      <c r="F51" s="55"/>
      <c r="G51" s="55"/>
      <c r="H51" s="111"/>
    </row>
    <row r="52" spans="1:11" x14ac:dyDescent="0.25">
      <c r="B52" s="742"/>
      <c r="C52" s="382" t="s">
        <v>317</v>
      </c>
      <c r="D52" s="496">
        <f>59713.76*1.03</f>
        <v>61505.1728</v>
      </c>
      <c r="E52" s="496">
        <f>68882.36*1.03</f>
        <v>70948.830799999996</v>
      </c>
      <c r="F52" s="55"/>
      <c r="G52" s="55"/>
      <c r="H52" s="111"/>
    </row>
    <row r="53" spans="1:11" x14ac:dyDescent="0.25">
      <c r="B53" s="68"/>
      <c r="C53" s="67"/>
      <c r="D53" s="55"/>
      <c r="E53" s="55"/>
      <c r="F53" s="79"/>
      <c r="G53" s="55"/>
    </row>
    <row r="54" spans="1:11" ht="13.95" customHeight="1" x14ac:dyDescent="0.25">
      <c r="B54" s="739" t="s">
        <v>506</v>
      </c>
      <c r="C54" s="739"/>
      <c r="D54" s="751" t="s">
        <v>389</v>
      </c>
      <c r="E54" s="751"/>
      <c r="F54" s="751"/>
      <c r="G54" s="751"/>
    </row>
    <row r="55" spans="1:11" x14ac:dyDescent="0.25">
      <c r="B55" s="739"/>
      <c r="C55" s="739"/>
      <c r="D55" s="751"/>
      <c r="E55" s="751"/>
      <c r="F55" s="751"/>
      <c r="G55" s="751"/>
    </row>
    <row r="56" spans="1:11" x14ac:dyDescent="0.25">
      <c r="B56" s="493" t="s">
        <v>312</v>
      </c>
      <c r="C56" s="386" t="s">
        <v>56</v>
      </c>
      <c r="D56" s="496">
        <f>69954.22*1.03</f>
        <v>72052.846600000004</v>
      </c>
      <c r="E56" s="496">
        <f>78927.76*1.03</f>
        <v>81295.592799999999</v>
      </c>
      <c r="F56" s="496">
        <f>99804.27*1.03</f>
        <v>102798.39810000001</v>
      </c>
      <c r="G56" s="496">
        <f>108320.82*1.03</f>
        <v>111570.44460000002</v>
      </c>
      <c r="H56" s="243"/>
      <c r="I56" s="243"/>
      <c r="J56" s="243"/>
      <c r="K56" s="243"/>
    </row>
    <row r="57" spans="1:11" x14ac:dyDescent="0.25">
      <c r="B57" s="493" t="s">
        <v>313</v>
      </c>
      <c r="C57" s="386" t="s">
        <v>57</v>
      </c>
      <c r="D57" s="496">
        <f>66379.12*1.03</f>
        <v>68370.493600000002</v>
      </c>
      <c r="E57" s="496">
        <f>75420.76*1.03</f>
        <v>77683.382799999992</v>
      </c>
      <c r="F57" s="496">
        <f>94704.06*1.03</f>
        <v>97545.181800000006</v>
      </c>
      <c r="G57" s="496">
        <f>103220.62*1.03</f>
        <v>106317.2386</v>
      </c>
      <c r="H57" s="243"/>
      <c r="I57" s="243"/>
      <c r="J57" s="243"/>
      <c r="K57" s="243"/>
    </row>
    <row r="58" spans="1:11" x14ac:dyDescent="0.25">
      <c r="B58" s="493" t="s">
        <v>315</v>
      </c>
      <c r="C58" s="386" t="s">
        <v>58</v>
      </c>
      <c r="D58" s="496">
        <f>63081.73*1.03</f>
        <v>64974.181900000003</v>
      </c>
      <c r="E58" s="496">
        <f>72186.18*1.03</f>
        <v>74351.765399999989</v>
      </c>
      <c r="F58" s="496">
        <f>89999.29*1.03</f>
        <v>92699.268700000001</v>
      </c>
      <c r="G58" s="496">
        <f>98515.84*1.03</f>
        <v>101471.3152</v>
      </c>
      <c r="H58" s="243"/>
      <c r="I58" s="243"/>
      <c r="J58" s="243"/>
      <c r="K58" s="243"/>
    </row>
    <row r="59" spans="1:11" x14ac:dyDescent="0.25">
      <c r="B59" s="493" t="s">
        <v>316</v>
      </c>
      <c r="C59" s="386" t="s">
        <v>59</v>
      </c>
      <c r="D59" s="496">
        <f>61957.58*1.03</f>
        <v>63816.307400000005</v>
      </c>
      <c r="E59" s="496">
        <f>71083.42*1.03</f>
        <v>73215.922600000005</v>
      </c>
      <c r="F59" s="496">
        <f>88395.73*1.03</f>
        <v>91047.601899999994</v>
      </c>
      <c r="G59" s="496">
        <f>96912.3*1.03</f>
        <v>99819.669000000009</v>
      </c>
      <c r="H59" s="243"/>
      <c r="I59" s="243"/>
      <c r="J59" s="243"/>
      <c r="K59" s="243"/>
    </row>
    <row r="60" spans="1:11" x14ac:dyDescent="0.25">
      <c r="B60" s="386" t="s">
        <v>319</v>
      </c>
      <c r="C60" s="386" t="s">
        <v>79</v>
      </c>
      <c r="D60" s="496">
        <f>60507.09*1.03</f>
        <v>62322.3027</v>
      </c>
      <c r="E60" s="496">
        <f>69360.38*1.03</f>
        <v>71441.191400000011</v>
      </c>
      <c r="F60" s="496">
        <f>88915.26*1.03</f>
        <v>91582.717799999999</v>
      </c>
      <c r="G60" s="496">
        <f>97431.79*1.03</f>
        <v>100354.74369999999</v>
      </c>
      <c r="H60" s="243"/>
      <c r="I60" s="243"/>
      <c r="J60" s="243"/>
      <c r="K60" s="243"/>
    </row>
    <row r="61" spans="1:11" x14ac:dyDescent="0.25">
      <c r="B61" s="68"/>
      <c r="C61" s="67"/>
      <c r="D61" s="55"/>
      <c r="E61" s="55"/>
      <c r="F61" s="55"/>
      <c r="G61" s="55"/>
    </row>
    <row r="62" spans="1:11" ht="43.95" customHeight="1" x14ac:dyDescent="0.25">
      <c r="B62" s="752" t="s">
        <v>507</v>
      </c>
      <c r="C62" s="753"/>
      <c r="D62" s="751" t="s">
        <v>508</v>
      </c>
      <c r="E62" s="751"/>
      <c r="F62" s="166"/>
      <c r="G62" s="166"/>
    </row>
    <row r="63" spans="1:11" x14ac:dyDescent="0.25">
      <c r="B63" s="754"/>
      <c r="C63" s="755"/>
      <c r="D63" s="494"/>
      <c r="E63" s="494"/>
      <c r="F63" s="166"/>
      <c r="G63" s="166"/>
    </row>
    <row r="64" spans="1:11" x14ac:dyDescent="0.25">
      <c r="B64" s="493" t="s">
        <v>319</v>
      </c>
      <c r="C64" s="382" t="s">
        <v>528</v>
      </c>
      <c r="D64" s="496">
        <f>65401.67*1.03</f>
        <v>67363.720100000006</v>
      </c>
      <c r="E64" s="496">
        <f>74161.73*1.03</f>
        <v>76386.581900000005</v>
      </c>
      <c r="F64" s="55"/>
      <c r="G64" s="55"/>
      <c r="H64" s="111"/>
    </row>
    <row r="65" spans="2:8" x14ac:dyDescent="0.25">
      <c r="B65" s="68"/>
      <c r="C65" s="67"/>
      <c r="D65" s="55"/>
      <c r="E65" s="55"/>
      <c r="F65" s="55"/>
      <c r="G65" s="55"/>
    </row>
    <row r="66" spans="2:8" ht="13.95" customHeight="1" x14ac:dyDescent="0.25">
      <c r="B66" s="750" t="s">
        <v>390</v>
      </c>
      <c r="C66" s="750"/>
      <c r="D66" s="751" t="s">
        <v>391</v>
      </c>
      <c r="E66" s="751"/>
      <c r="F66" s="751"/>
      <c r="G66" s="751"/>
    </row>
    <row r="67" spans="2:8" x14ac:dyDescent="0.25">
      <c r="B67" s="750"/>
      <c r="C67" s="750"/>
      <c r="D67" s="751"/>
      <c r="E67" s="751"/>
      <c r="F67" s="751"/>
      <c r="G67" s="751"/>
    </row>
    <row r="68" spans="2:8" x14ac:dyDescent="0.25">
      <c r="B68" s="493" t="s">
        <v>313</v>
      </c>
      <c r="C68" s="386" t="s">
        <v>705</v>
      </c>
      <c r="D68" s="496">
        <f>81540.96*1.03</f>
        <v>83987.188800000004</v>
      </c>
      <c r="E68" s="496">
        <f>88030.15*1.03</f>
        <v>90671.054499999998</v>
      </c>
      <c r="F68" s="496">
        <f>112389.52*1.03</f>
        <v>115761.2056</v>
      </c>
      <c r="G68" s="496">
        <f>120906.08*1.03</f>
        <v>124533.26240000001</v>
      </c>
      <c r="H68" s="111"/>
    </row>
    <row r="69" spans="2:8" x14ac:dyDescent="0.25">
      <c r="B69" s="493" t="s">
        <v>315</v>
      </c>
      <c r="C69" s="386" t="s">
        <v>58</v>
      </c>
      <c r="D69" s="496">
        <f>75696.56*1.03</f>
        <v>77967.4568</v>
      </c>
      <c r="E69" s="496">
        <f>84560.72*1.03</f>
        <v>87097.541599999997</v>
      </c>
      <c r="F69" s="496">
        <f>109436.49*1.03</f>
        <v>112719.58470000001</v>
      </c>
      <c r="G69" s="496">
        <f>117953.05*1.03</f>
        <v>121491.64150000001</v>
      </c>
      <c r="H69" s="111"/>
    </row>
    <row r="70" spans="2:8" x14ac:dyDescent="0.25">
      <c r="B70" s="493" t="s">
        <v>316</v>
      </c>
      <c r="C70" s="386" t="s">
        <v>59</v>
      </c>
      <c r="D70" s="496">
        <f>74967.15*1.03</f>
        <v>77216.164499999999</v>
      </c>
      <c r="E70" s="496">
        <f>83845.2*1.03</f>
        <v>86360.555999999997</v>
      </c>
      <c r="F70" s="496">
        <f>108382.86*1.03</f>
        <v>111634.34580000001</v>
      </c>
      <c r="G70" s="496">
        <f>116899.42*1.03</f>
        <v>120406.4026</v>
      </c>
      <c r="H70" s="111"/>
    </row>
    <row r="71" spans="2:8" x14ac:dyDescent="0.25">
      <c r="B71" s="493" t="s">
        <v>319</v>
      </c>
      <c r="C71" s="386" t="s">
        <v>324</v>
      </c>
      <c r="D71" s="496">
        <f>74787.05*1.03</f>
        <v>77030.661500000002</v>
      </c>
      <c r="E71" s="496">
        <f>83668.53*1.03</f>
        <v>86178.585900000005</v>
      </c>
      <c r="F71" s="496">
        <f>108120.07*1.03</f>
        <v>111363.67210000001</v>
      </c>
      <c r="G71" s="496">
        <f>116636.61*1.03</f>
        <v>120135.7083</v>
      </c>
      <c r="H71" s="111"/>
    </row>
    <row r="72" spans="2:8" x14ac:dyDescent="0.25">
      <c r="B72" s="493" t="s">
        <v>321</v>
      </c>
      <c r="C72" s="386" t="s">
        <v>80</v>
      </c>
      <c r="D72" s="496">
        <f>74787.05*1.03</f>
        <v>77030.661500000002</v>
      </c>
      <c r="E72" s="496">
        <f>83668.53*1.03</f>
        <v>86178.585900000005</v>
      </c>
      <c r="F72" s="496">
        <f>108120.07*1.03</f>
        <v>111363.67210000001</v>
      </c>
      <c r="G72" s="496">
        <f>116636.61*1.03</f>
        <v>120135.7083</v>
      </c>
      <c r="H72" s="111"/>
    </row>
    <row r="74" spans="2:8" ht="13.95" customHeight="1" x14ac:dyDescent="0.25">
      <c r="B74" s="750" t="s">
        <v>83</v>
      </c>
      <c r="C74" s="750"/>
      <c r="D74" s="749" t="s">
        <v>514</v>
      </c>
      <c r="E74" s="749"/>
      <c r="F74" s="749"/>
      <c r="G74" s="749"/>
    </row>
    <row r="75" spans="2:8" ht="14.4" customHeight="1" x14ac:dyDescent="0.25">
      <c r="B75" s="750"/>
      <c r="C75" s="750"/>
      <c r="D75" s="749"/>
      <c r="E75" s="749"/>
      <c r="F75" s="749"/>
      <c r="G75" s="749"/>
    </row>
    <row r="76" spans="2:8" x14ac:dyDescent="0.25">
      <c r="B76" s="481" t="s">
        <v>431</v>
      </c>
      <c r="C76" s="481" t="s">
        <v>494</v>
      </c>
      <c r="D76" s="496">
        <f>60305.99*1.03</f>
        <v>62115.169699999999</v>
      </c>
      <c r="E76" s="496">
        <f>69163.12*1.03</f>
        <v>71238.013599999991</v>
      </c>
      <c r="F76" s="496">
        <f>70884.49*1.03</f>
        <v>73011.024700000009</v>
      </c>
      <c r="G76" s="496">
        <f>79401.02*1.03</f>
        <v>81783.050600000002</v>
      </c>
      <c r="H76" s="111"/>
    </row>
    <row r="77" spans="2:8" x14ac:dyDescent="0.25">
      <c r="B77" s="481"/>
      <c r="C77" s="481" t="s">
        <v>432</v>
      </c>
      <c r="D77" s="496"/>
      <c r="E77" s="496"/>
      <c r="F77" s="496">
        <f>69611.87*1.03</f>
        <v>71700.2261</v>
      </c>
      <c r="G77" s="496">
        <f>78128.42*1.03</f>
        <v>80472.272599999997</v>
      </c>
      <c r="H77" s="111"/>
    </row>
    <row r="78" spans="2:8" x14ac:dyDescent="0.25">
      <c r="B78" s="481" t="s">
        <v>433</v>
      </c>
      <c r="C78" s="481" t="s">
        <v>319</v>
      </c>
      <c r="D78" s="496">
        <f>75549.47*1.03</f>
        <v>77815.954100000003</v>
      </c>
      <c r="E78" s="496">
        <f>84723.63*1.03</f>
        <v>87265.338900000002</v>
      </c>
      <c r="F78" s="496">
        <f>85481.85*1.03</f>
        <v>88046.305500000002</v>
      </c>
      <c r="G78" s="496">
        <f>93998.41*1.03</f>
        <v>96818.362300000008</v>
      </c>
      <c r="H78" s="111"/>
    </row>
    <row r="79" spans="2:8" x14ac:dyDescent="0.25">
      <c r="B79" s="481"/>
      <c r="C79" s="481" t="s">
        <v>321</v>
      </c>
      <c r="D79" s="496">
        <f>72747.31*1.03</f>
        <v>74929.729300000006</v>
      </c>
      <c r="E79" s="496">
        <f>81974.82*1.03</f>
        <v>84434.064600000012</v>
      </c>
      <c r="F79" s="496">
        <f>84568.15*1.03</f>
        <v>87105.194499999998</v>
      </c>
      <c r="G79" s="496">
        <f>93084.7*1.03</f>
        <v>95877.240999999995</v>
      </c>
      <c r="H79" s="111"/>
    </row>
    <row r="80" spans="2:8" x14ac:dyDescent="0.25">
      <c r="B80" s="70"/>
      <c r="C80" s="70"/>
      <c r="D80" s="55"/>
      <c r="E80" s="55"/>
      <c r="F80" s="55"/>
      <c r="G80" s="55"/>
      <c r="H80" s="111"/>
    </row>
    <row r="81" spans="2:7" x14ac:dyDescent="0.25">
      <c r="B81" s="747" t="s">
        <v>709</v>
      </c>
      <c r="C81" s="747"/>
      <c r="D81" s="496" t="s">
        <v>710</v>
      </c>
      <c r="E81" s="496"/>
      <c r="F81" s="496"/>
      <c r="G81" s="496"/>
    </row>
    <row r="82" spans="2:7" x14ac:dyDescent="0.25">
      <c r="B82" s="493" t="s">
        <v>319</v>
      </c>
      <c r="C82" s="382" t="s">
        <v>528</v>
      </c>
      <c r="D82" s="496">
        <f>99865.35*1.03</f>
        <v>102861.31050000001</v>
      </c>
      <c r="E82" s="496">
        <f>108888.63*1.03</f>
        <v>112155.28890000001</v>
      </c>
      <c r="F82" s="496"/>
      <c r="G82" s="496"/>
    </row>
    <row r="83" spans="2:7" x14ac:dyDescent="0.25">
      <c r="B83" s="68"/>
      <c r="C83" s="67"/>
      <c r="D83" s="55"/>
      <c r="E83" s="55"/>
      <c r="F83" s="55"/>
      <c r="G83" s="55"/>
    </row>
    <row r="84" spans="2:7" x14ac:dyDescent="0.25">
      <c r="B84" s="76" t="s">
        <v>296</v>
      </c>
      <c r="C84" s="464"/>
      <c r="D84" s="111"/>
    </row>
    <row r="85" spans="2:7" x14ac:dyDescent="0.25">
      <c r="B85" s="76" t="s">
        <v>719</v>
      </c>
      <c r="C85" s="55"/>
      <c r="D85" s="111"/>
      <c r="E85" s="78" t="s">
        <v>712</v>
      </c>
    </row>
    <row r="86" spans="2:7" x14ac:dyDescent="0.25">
      <c r="B86" s="76" t="s">
        <v>711</v>
      </c>
      <c r="C86" s="78"/>
      <c r="D86" s="111"/>
      <c r="E86" s="748"/>
      <c r="F86" s="748"/>
      <c r="G86" s="748"/>
    </row>
    <row r="87" spans="2:7" x14ac:dyDescent="0.25">
      <c r="B87" s="78" t="s">
        <v>793</v>
      </c>
    </row>
    <row r="88" spans="2:7" x14ac:dyDescent="0.25">
      <c r="B88" s="78" t="s">
        <v>791</v>
      </c>
    </row>
    <row r="89" spans="2:7" x14ac:dyDescent="0.25">
      <c r="B89" s="78" t="s">
        <v>792</v>
      </c>
    </row>
  </sheetData>
  <mergeCells count="36">
    <mergeCell ref="B81:C81"/>
    <mergeCell ref="E86:G86"/>
    <mergeCell ref="D74:G75"/>
    <mergeCell ref="B74:C75"/>
    <mergeCell ref="B45:B46"/>
    <mergeCell ref="D66:G67"/>
    <mergeCell ref="B66:C67"/>
    <mergeCell ref="B47:B48"/>
    <mergeCell ref="B62:C63"/>
    <mergeCell ref="D62:E62"/>
    <mergeCell ref="B54:C55"/>
    <mergeCell ref="D54:G55"/>
    <mergeCell ref="B49:B50"/>
    <mergeCell ref="B51:B52"/>
    <mergeCell ref="B2:C2"/>
    <mergeCell ref="D2:G2"/>
    <mergeCell ref="B3:B4"/>
    <mergeCell ref="C3:C4"/>
    <mergeCell ref="D3:E3"/>
    <mergeCell ref="F3:G3"/>
    <mergeCell ref="B5:E5"/>
    <mergeCell ref="B6:C7"/>
    <mergeCell ref="D6:G7"/>
    <mergeCell ref="D43:E44"/>
    <mergeCell ref="B8:B9"/>
    <mergeCell ref="B10:B11"/>
    <mergeCell ref="B12:B13"/>
    <mergeCell ref="B14:B15"/>
    <mergeCell ref="B17:B18"/>
    <mergeCell ref="B29:B30"/>
    <mergeCell ref="D27:G28"/>
    <mergeCell ref="B27:C28"/>
    <mergeCell ref="B31:B32"/>
    <mergeCell ref="B43:C44"/>
    <mergeCell ref="B34:B35"/>
    <mergeCell ref="B42:E42"/>
  </mergeCells>
  <phoneticPr fontId="0" type="noConversion"/>
  <hyperlinks>
    <hyperlink ref="H1" location="'3'!A1" display="Оглавление"/>
  </hyperlinks>
  <printOptions horizontalCentered="1"/>
  <pageMargins left="0.62992125984251968" right="0.62992125984251968" top="0.51181102362204722" bottom="0.31496062992125984" header="0.39370078740157483" footer="0.23622047244094491"/>
  <pageSetup paperSize="9" scale="61" orientation="portrait" r:id="rId1"/>
  <headerFooter alignWithMargins="0">
    <oddHeader>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G91"/>
  <sheetViews>
    <sheetView view="pageBreakPreview" zoomScale="85" zoomScaleNormal="60" workbookViewId="0"/>
  </sheetViews>
  <sheetFormatPr defaultColWidth="8.88671875" defaultRowHeight="13.2" x14ac:dyDescent="0.25"/>
  <cols>
    <col min="1" max="1" width="12.6640625" style="24" customWidth="1"/>
    <col min="2" max="2" width="20.6640625" style="24" customWidth="1"/>
    <col min="3" max="6" width="20.44140625" style="24" customWidth="1"/>
    <col min="7" max="7" width="15.6640625" style="24" customWidth="1"/>
    <col min="8" max="16384" width="8.88671875" style="24"/>
  </cols>
  <sheetData>
    <row r="1" spans="1:7" s="78" customFormat="1" ht="13.2" customHeight="1" x14ac:dyDescent="0.25">
      <c r="A1" s="481"/>
      <c r="B1" s="24"/>
      <c r="C1" s="66"/>
      <c r="D1" s="66"/>
      <c r="E1" s="66"/>
      <c r="F1" s="239">
        <v>41091</v>
      </c>
      <c r="G1" s="54" t="s">
        <v>466</v>
      </c>
    </row>
    <row r="2" spans="1:7" ht="25.2" customHeight="1" x14ac:dyDescent="0.25">
      <c r="B2" s="765" t="s">
        <v>790</v>
      </c>
      <c r="C2" s="757" t="s">
        <v>720</v>
      </c>
      <c r="D2" s="757"/>
      <c r="E2" s="757"/>
      <c r="F2" s="757"/>
      <c r="G2" s="178"/>
    </row>
    <row r="3" spans="1:7" ht="25.2" customHeight="1" x14ac:dyDescent="0.25">
      <c r="B3" s="766"/>
      <c r="C3" s="757"/>
      <c r="D3" s="757"/>
      <c r="E3" s="757"/>
      <c r="F3" s="757"/>
      <c r="G3" s="178"/>
    </row>
    <row r="4" spans="1:7" ht="13.8" x14ac:dyDescent="0.25">
      <c r="B4" s="742" t="s">
        <v>310</v>
      </c>
      <c r="C4" s="758" t="s">
        <v>276</v>
      </c>
      <c r="D4" s="758"/>
      <c r="E4" s="758"/>
      <c r="F4" s="758"/>
      <c r="G4" s="179"/>
    </row>
    <row r="5" spans="1:7" ht="13.95" customHeight="1" x14ac:dyDescent="0.25">
      <c r="B5" s="742"/>
      <c r="C5" s="758" t="s">
        <v>682</v>
      </c>
      <c r="D5" s="572"/>
      <c r="E5" s="758" t="s">
        <v>444</v>
      </c>
      <c r="F5" s="572"/>
      <c r="G5" s="70"/>
    </row>
    <row r="6" spans="1:7" s="93" customFormat="1" ht="13.8" x14ac:dyDescent="0.25">
      <c r="A6" s="24"/>
      <c r="B6" s="742"/>
      <c r="C6" s="497" t="s">
        <v>262</v>
      </c>
      <c r="D6" s="497" t="s">
        <v>327</v>
      </c>
      <c r="E6" s="497" t="s">
        <v>262</v>
      </c>
      <c r="F6" s="497" t="s">
        <v>327</v>
      </c>
    </row>
    <row r="7" spans="1:7" ht="13.8" x14ac:dyDescent="0.25">
      <c r="A7" s="388"/>
      <c r="B7" s="493" t="s">
        <v>312</v>
      </c>
      <c r="C7" s="498">
        <f>89218.92*1.03</f>
        <v>91895.487600000008</v>
      </c>
      <c r="D7" s="498">
        <f>98056.5*1.03</f>
        <v>100998.19500000001</v>
      </c>
      <c r="E7" s="506">
        <f>106321.75*1.03</f>
        <v>109511.4025</v>
      </c>
      <c r="F7" s="506">
        <f>113626.23*1.03</f>
        <v>117035.0169</v>
      </c>
      <c r="G7" s="111"/>
    </row>
    <row r="8" spans="1:7" ht="13.8" x14ac:dyDescent="0.25">
      <c r="B8" s="493" t="s">
        <v>313</v>
      </c>
      <c r="C8" s="498">
        <f>79464.55*1.03</f>
        <v>81848.486499999999</v>
      </c>
      <c r="D8" s="498">
        <f>88487.94*1.03</f>
        <v>91142.578200000004</v>
      </c>
      <c r="E8" s="498">
        <f>98259.56*1.03</f>
        <v>101207.3468</v>
      </c>
      <c r="F8" s="498">
        <f>106776.11*1.03</f>
        <v>109979.39330000001</v>
      </c>
      <c r="G8" s="451"/>
    </row>
    <row r="9" spans="1:7" ht="13.8" x14ac:dyDescent="0.25">
      <c r="B9" s="493" t="s">
        <v>315</v>
      </c>
      <c r="C9" s="498">
        <f>70453.59*1.03</f>
        <v>72567.197700000004</v>
      </c>
      <c r="D9" s="498">
        <f>79724.83*1.03</f>
        <v>82116.574900000007</v>
      </c>
      <c r="E9" s="498">
        <f>90547.98*1.03</f>
        <v>93264.419399999999</v>
      </c>
      <c r="F9" s="498">
        <f>99064.54*1.03</f>
        <v>102036.47619999999</v>
      </c>
      <c r="G9" s="111"/>
    </row>
    <row r="10" spans="1:7" ht="13.8" x14ac:dyDescent="0.25">
      <c r="B10" s="493" t="s">
        <v>316</v>
      </c>
      <c r="C10" s="498">
        <f>67591.13*1.03</f>
        <v>69618.863900000011</v>
      </c>
      <c r="D10" s="498">
        <f>76916.88*1.03</f>
        <v>79224.386400000003</v>
      </c>
      <c r="E10" s="498">
        <f>86867.62*1.03</f>
        <v>89473.6486</v>
      </c>
      <c r="F10" s="498">
        <f>95384.17*1.03</f>
        <v>98245.695099999997</v>
      </c>
      <c r="G10" s="111"/>
    </row>
    <row r="11" spans="1:7" ht="13.8" x14ac:dyDescent="0.25">
      <c r="B11" s="493" t="s">
        <v>318</v>
      </c>
      <c r="C11" s="498">
        <f>68277.39*1.03</f>
        <v>70325.7117</v>
      </c>
      <c r="D11" s="498">
        <f>77590.06*1.03</f>
        <v>79917.761799999993</v>
      </c>
      <c r="E11" s="498">
        <f>86297*1.03</f>
        <v>88885.91</v>
      </c>
      <c r="F11" s="498">
        <f>94813.57*1.03</f>
        <v>97657.977100000004</v>
      </c>
      <c r="G11" s="111"/>
    </row>
    <row r="12" spans="1:7" ht="13.8" x14ac:dyDescent="0.25">
      <c r="B12" s="493" t="s">
        <v>319</v>
      </c>
      <c r="C12" s="498">
        <f>68680.79*1.03</f>
        <v>70741.213699999993</v>
      </c>
      <c r="D12" s="498">
        <f>77985.76*1.03</f>
        <v>80325.332800000004</v>
      </c>
      <c r="E12" s="498">
        <f>85481.85*1.03</f>
        <v>88046.305500000002</v>
      </c>
      <c r="F12" s="498">
        <f>93998.41*1.03</f>
        <v>96818.362300000008</v>
      </c>
      <c r="G12" s="111"/>
    </row>
    <row r="13" spans="1:7" ht="13.8" x14ac:dyDescent="0.25">
      <c r="B13" s="386" t="s">
        <v>320</v>
      </c>
      <c r="C13" s="498">
        <f>68333.04*1.03</f>
        <v>70383.031199999998</v>
      </c>
      <c r="D13" s="498">
        <f>77644.64*1.03</f>
        <v>79973.979200000002</v>
      </c>
      <c r="E13" s="498">
        <f>85048.72*1.03</f>
        <v>87600.181599999996</v>
      </c>
      <c r="F13" s="498">
        <f>93565.28*1.03</f>
        <v>96372.238400000002</v>
      </c>
      <c r="G13" s="111"/>
    </row>
    <row r="14" spans="1:7" ht="13.8" x14ac:dyDescent="0.25">
      <c r="B14" s="386" t="s">
        <v>321</v>
      </c>
      <c r="C14" s="498">
        <f>66135.16*1.03</f>
        <v>68119.214800000002</v>
      </c>
      <c r="D14" s="498">
        <f>75488.65*1.03</f>
        <v>77753.309500000003</v>
      </c>
      <c r="E14" s="498">
        <f>79250.18*1.03</f>
        <v>81627.685400000002</v>
      </c>
      <c r="F14" s="498">
        <f>87766.73*1.03</f>
        <v>90399.731899999999</v>
      </c>
      <c r="G14" s="111"/>
    </row>
    <row r="15" spans="1:7" ht="13.8" x14ac:dyDescent="0.25">
      <c r="B15" s="386" t="s">
        <v>322</v>
      </c>
      <c r="C15" s="498">
        <f>67152.19*1.03</f>
        <v>69166.755700000009</v>
      </c>
      <c r="D15" s="498">
        <f>76486.29*1.03</f>
        <v>78780.878700000001</v>
      </c>
      <c r="E15" s="498">
        <f>79250.18*1.03</f>
        <v>81627.685400000002</v>
      </c>
      <c r="F15" s="498">
        <f>87766.73*1.03</f>
        <v>90399.731899999999</v>
      </c>
      <c r="G15" s="111"/>
    </row>
    <row r="16" spans="1:7" ht="13.8" x14ac:dyDescent="0.25">
      <c r="B16" s="386" t="s">
        <v>685</v>
      </c>
      <c r="C16" s="498">
        <f>66824.5*1.03</f>
        <v>68829.235000000001</v>
      </c>
      <c r="D16" s="498">
        <f>76164.85*1.03</f>
        <v>78449.795500000007</v>
      </c>
      <c r="E16" s="498">
        <f>76238.96*1.03</f>
        <v>78526.128800000006</v>
      </c>
      <c r="F16" s="498">
        <f>84755.51*1.03</f>
        <v>87298.175300000003</v>
      </c>
      <c r="G16" s="111"/>
    </row>
    <row r="17" spans="2:7" ht="13.8" x14ac:dyDescent="0.25">
      <c r="B17" s="386"/>
      <c r="C17" s="758" t="s">
        <v>69</v>
      </c>
      <c r="D17" s="572"/>
      <c r="G17" s="112"/>
    </row>
    <row r="18" spans="2:7" ht="13.8" x14ac:dyDescent="0.25">
      <c r="B18" s="386" t="s">
        <v>320</v>
      </c>
      <c r="C18" s="498">
        <f>68333.04*1.03</f>
        <v>70383.031199999998</v>
      </c>
      <c r="D18" s="498">
        <f>77644.64*1.03</f>
        <v>79973.979200000002</v>
      </c>
      <c r="G18" s="112"/>
    </row>
    <row r="19" spans="2:7" ht="13.8" x14ac:dyDescent="0.25">
      <c r="B19" s="386" t="s">
        <v>321</v>
      </c>
      <c r="C19" s="498">
        <f>63082.58*1.03</f>
        <v>64975.057400000005</v>
      </c>
      <c r="D19" s="498">
        <f>72494.22*1.03</f>
        <v>74669.046600000001</v>
      </c>
      <c r="G19" s="111"/>
    </row>
    <row r="20" spans="2:7" ht="13.8" x14ac:dyDescent="0.25">
      <c r="B20" s="386" t="s">
        <v>322</v>
      </c>
      <c r="C20" s="498">
        <f>64099.6*1.03</f>
        <v>66022.588000000003</v>
      </c>
      <c r="D20" s="498">
        <f>73491.85*1.03</f>
        <v>75696.605500000005</v>
      </c>
      <c r="G20" s="111"/>
    </row>
    <row r="21" spans="2:7" ht="13.8" x14ac:dyDescent="0.25">
      <c r="B21" s="386" t="s">
        <v>685</v>
      </c>
      <c r="C21" s="498">
        <f>63877.03*1.03</f>
        <v>65793.340899999996</v>
      </c>
      <c r="D21" s="498">
        <f>73273.54*1.03</f>
        <v>75471.746199999994</v>
      </c>
      <c r="G21" s="111"/>
    </row>
    <row r="22" spans="2:7" ht="14.25" customHeight="1" x14ac:dyDescent="0.25">
      <c r="B22" s="761" t="s">
        <v>788</v>
      </c>
      <c r="C22" s="761"/>
      <c r="D22" s="761"/>
      <c r="G22" s="111"/>
    </row>
    <row r="23" spans="2:7" ht="13.8" x14ac:dyDescent="0.25">
      <c r="B23" s="493" t="s">
        <v>318</v>
      </c>
      <c r="C23" s="498">
        <f>93330.2*1.03</f>
        <v>96130.106</v>
      </c>
      <c r="D23" s="498">
        <f>102540.87*1.03</f>
        <v>105617.0961</v>
      </c>
      <c r="G23" s="111"/>
    </row>
    <row r="24" spans="2:7" ht="13.8" x14ac:dyDescent="0.25">
      <c r="B24" s="493" t="s">
        <v>319</v>
      </c>
      <c r="C24" s="498">
        <f>92448.63*1.03</f>
        <v>95222.088900000002</v>
      </c>
      <c r="D24" s="498">
        <f>101659.28*1.03</f>
        <v>104709.05839999999</v>
      </c>
      <c r="G24" s="111"/>
    </row>
    <row r="25" spans="2:7" ht="13.8" x14ac:dyDescent="0.25">
      <c r="B25" s="386" t="s">
        <v>320</v>
      </c>
      <c r="C25" s="498">
        <f>91980.2*1.03</f>
        <v>94739.606</v>
      </c>
      <c r="D25" s="498">
        <f>101190.85*1.03</f>
        <v>104226.57550000001</v>
      </c>
      <c r="G25" s="111"/>
    </row>
    <row r="26" spans="2:7" ht="13.8" x14ac:dyDescent="0.25">
      <c r="B26" s="386" t="s">
        <v>321</v>
      </c>
      <c r="C26" s="498">
        <f>85709.07*1.03</f>
        <v>88280.342100000009</v>
      </c>
      <c r="D26" s="498">
        <f>94919.72*1.03</f>
        <v>97767.311600000001</v>
      </c>
      <c r="G26" s="111"/>
    </row>
    <row r="27" spans="2:7" ht="13.8" x14ac:dyDescent="0.25">
      <c r="B27" s="386" t="s">
        <v>322</v>
      </c>
      <c r="C27" s="498">
        <f>85709.07*1.03</f>
        <v>88280.342100000009</v>
      </c>
      <c r="D27" s="498">
        <f>94919.72*1.03</f>
        <v>97767.311600000001</v>
      </c>
      <c r="G27" s="111"/>
    </row>
    <row r="28" spans="2:7" ht="13.8" x14ac:dyDescent="0.25">
      <c r="B28" s="386" t="s">
        <v>685</v>
      </c>
      <c r="C28" s="498">
        <f>82452.43*1.03</f>
        <v>84926.002899999992</v>
      </c>
      <c r="D28" s="498">
        <f>91663.1*1.03</f>
        <v>94412.993000000002</v>
      </c>
      <c r="G28" s="111"/>
    </row>
    <row r="29" spans="2:7" ht="13.8" x14ac:dyDescent="0.25">
      <c r="B29" s="232" t="s">
        <v>717</v>
      </c>
      <c r="C29" s="168"/>
      <c r="D29" s="168"/>
      <c r="E29" s="168"/>
      <c r="F29" s="168"/>
      <c r="G29" s="111"/>
    </row>
    <row r="30" spans="2:7" ht="13.8" x14ac:dyDescent="0.25">
      <c r="B30" s="232"/>
      <c r="C30" s="168"/>
      <c r="D30" s="168"/>
      <c r="E30" s="168"/>
      <c r="F30" s="168"/>
      <c r="G30" s="111"/>
    </row>
    <row r="31" spans="2:7" ht="16.95" customHeight="1" x14ac:dyDescent="0.25">
      <c r="B31" s="392" t="s">
        <v>715</v>
      </c>
      <c r="C31" s="760" t="s">
        <v>716</v>
      </c>
      <c r="D31" s="760"/>
      <c r="E31" s="760"/>
      <c r="F31" s="760"/>
      <c r="G31" s="111"/>
    </row>
    <row r="32" spans="2:7" ht="13.8" x14ac:dyDescent="0.25">
      <c r="B32" s="386" t="s">
        <v>313</v>
      </c>
      <c r="C32" s="498">
        <f>110086.4*1.03</f>
        <v>113388.992</v>
      </c>
      <c r="D32" s="498">
        <f>119398.66*1.03</f>
        <v>122980.6198</v>
      </c>
      <c r="E32" s="498"/>
      <c r="F32" s="498"/>
      <c r="G32" s="111"/>
    </row>
    <row r="33" spans="2:7" ht="13.8" x14ac:dyDescent="0.25">
      <c r="B33" s="386" t="s">
        <v>316</v>
      </c>
      <c r="C33" s="498">
        <f>92793.85*1.03</f>
        <v>95577.665500000003</v>
      </c>
      <c r="D33" s="498">
        <f>102106.11*1.03</f>
        <v>105169.2933</v>
      </c>
      <c r="E33" s="498"/>
      <c r="F33" s="498"/>
      <c r="G33" s="111"/>
    </row>
    <row r="34" spans="2:7" ht="13.8" x14ac:dyDescent="0.25">
      <c r="B34" s="495"/>
      <c r="C34" s="168"/>
      <c r="D34" s="168"/>
      <c r="E34" s="168"/>
      <c r="F34" s="168"/>
      <c r="G34" s="111"/>
    </row>
    <row r="35" spans="2:7" ht="15.6" customHeight="1" x14ac:dyDescent="0.25">
      <c r="B35" s="495"/>
      <c r="F35" s="239">
        <v>41091</v>
      </c>
      <c r="G35" s="111"/>
    </row>
    <row r="36" spans="2:7" ht="36" customHeight="1" x14ac:dyDescent="0.25">
      <c r="B36" s="490" t="s">
        <v>678</v>
      </c>
      <c r="C36" s="578" t="s">
        <v>703</v>
      </c>
      <c r="D36" s="578"/>
      <c r="E36" s="578"/>
      <c r="F36" s="578"/>
      <c r="G36" s="111"/>
    </row>
    <row r="37" spans="2:7" ht="15" x14ac:dyDescent="0.25">
      <c r="B37" s="448" t="s">
        <v>310</v>
      </c>
      <c r="C37" s="477" t="s">
        <v>311</v>
      </c>
      <c r="D37" s="478"/>
      <c r="E37" s="478"/>
      <c r="F37" s="478"/>
      <c r="G37" s="111"/>
    </row>
    <row r="38" spans="2:7" ht="13.8" x14ac:dyDescent="0.25">
      <c r="B38" s="386" t="s">
        <v>319</v>
      </c>
      <c r="C38" s="450" t="s">
        <v>825</v>
      </c>
      <c r="D38" s="481"/>
      <c r="E38" s="507">
        <f>100121.52*1.03</f>
        <v>103125.16560000001</v>
      </c>
      <c r="F38" s="507">
        <f>133798.04*1.03</f>
        <v>137811.98120000001</v>
      </c>
      <c r="G38" s="242"/>
    </row>
    <row r="39" spans="2:7" ht="13.8" x14ac:dyDescent="0.25">
      <c r="B39" s="763" t="s">
        <v>321</v>
      </c>
      <c r="C39" s="450" t="s">
        <v>819</v>
      </c>
      <c r="D39" s="481"/>
      <c r="E39" s="507">
        <f>92075.62*1.03</f>
        <v>94837.888599999991</v>
      </c>
      <c r="F39" s="507">
        <f>120745.86*1.03</f>
        <v>124368.23580000001</v>
      </c>
      <c r="G39" s="242"/>
    </row>
    <row r="40" spans="2:7" ht="13.8" x14ac:dyDescent="0.25">
      <c r="B40" s="764"/>
      <c r="C40" s="449" t="s">
        <v>820</v>
      </c>
      <c r="D40" s="481"/>
      <c r="E40" s="507">
        <f>87075.62*1.03</f>
        <v>89687.888599999991</v>
      </c>
      <c r="F40" s="507">
        <f>115745.86*1.03</f>
        <v>119218.23580000001</v>
      </c>
      <c r="G40" s="242"/>
    </row>
    <row r="41" spans="2:7" ht="13.8" x14ac:dyDescent="0.25">
      <c r="B41" s="763" t="s">
        <v>322</v>
      </c>
      <c r="C41" s="450" t="s">
        <v>821</v>
      </c>
      <c r="D41" s="481"/>
      <c r="E41" s="507">
        <f>90599.11*1.03</f>
        <v>93317.083299999998</v>
      </c>
      <c r="F41" s="507">
        <f>119269.35*1.03</f>
        <v>122847.4305</v>
      </c>
      <c r="G41" s="242"/>
    </row>
    <row r="42" spans="2:7" ht="13.8" x14ac:dyDescent="0.25">
      <c r="B42" s="764"/>
      <c r="C42" s="449" t="s">
        <v>820</v>
      </c>
      <c r="D42" s="481"/>
      <c r="E42" s="507">
        <f>86599.11*1.03</f>
        <v>89197.083299999998</v>
      </c>
      <c r="F42" s="507">
        <f>115269.35*1.03</f>
        <v>118727.4305</v>
      </c>
      <c r="G42" s="242"/>
    </row>
    <row r="43" spans="2:7" ht="13.8" x14ac:dyDescent="0.25">
      <c r="B43" s="763" t="s">
        <v>323</v>
      </c>
      <c r="C43" s="450" t="s">
        <v>822</v>
      </c>
      <c r="D43" s="481"/>
      <c r="E43" s="507">
        <f>88472.92*1.03</f>
        <v>91127.107600000003</v>
      </c>
      <c r="F43" s="507">
        <f>117143.17*1.03</f>
        <v>120657.4651</v>
      </c>
      <c r="G43" s="242"/>
    </row>
    <row r="44" spans="2:7" ht="13.8" x14ac:dyDescent="0.25">
      <c r="B44" s="764"/>
      <c r="C44" s="449" t="s">
        <v>820</v>
      </c>
      <c r="D44" s="481"/>
      <c r="E44" s="507">
        <f>84472.92*1.03</f>
        <v>87007.107600000003</v>
      </c>
      <c r="F44" s="507">
        <f>113143.17*1.03</f>
        <v>116537.4651</v>
      </c>
      <c r="G44" s="242"/>
    </row>
    <row r="45" spans="2:7" ht="13.8" x14ac:dyDescent="0.25">
      <c r="B45" s="763" t="s">
        <v>325</v>
      </c>
      <c r="C45" s="450" t="s">
        <v>823</v>
      </c>
      <c r="D45" s="481"/>
      <c r="E45" s="507">
        <f>88472.92*1.03</f>
        <v>91127.107600000003</v>
      </c>
      <c r="F45" s="507">
        <f>117143.17*1.03</f>
        <v>120657.4651</v>
      </c>
      <c r="G45" s="242"/>
    </row>
    <row r="46" spans="2:7" ht="13.8" x14ac:dyDescent="0.25">
      <c r="B46" s="764"/>
      <c r="C46" s="449" t="s">
        <v>820</v>
      </c>
      <c r="D46" s="481"/>
      <c r="E46" s="507">
        <f>86472.92*1.03</f>
        <v>89067.107600000003</v>
      </c>
      <c r="F46" s="507">
        <f>115143.17*1.03</f>
        <v>118597.4651</v>
      </c>
      <c r="G46" s="242"/>
    </row>
    <row r="47" spans="2:7" ht="13.8" x14ac:dyDescent="0.25">
      <c r="B47" s="495"/>
      <c r="C47" s="70"/>
      <c r="D47" s="70"/>
      <c r="E47" s="181"/>
      <c r="F47" s="181"/>
      <c r="G47" s="111"/>
    </row>
    <row r="48" spans="2:7" ht="36" customHeight="1" x14ac:dyDescent="0.25">
      <c r="B48" s="490" t="s">
        <v>679</v>
      </c>
      <c r="C48" s="578" t="s">
        <v>713</v>
      </c>
      <c r="D48" s="578"/>
      <c r="E48" s="578"/>
      <c r="F48" s="578"/>
      <c r="G48" s="111"/>
    </row>
    <row r="49" spans="2:7" ht="13.8" x14ac:dyDescent="0.25">
      <c r="B49" s="386" t="s">
        <v>321</v>
      </c>
      <c r="C49" s="481"/>
      <c r="D49" s="481"/>
      <c r="E49" s="508">
        <f>100332.31*1.03</f>
        <v>103342.27929999999</v>
      </c>
      <c r="F49" s="508">
        <f>129002.55*1.03</f>
        <v>132872.62650000001</v>
      </c>
      <c r="G49" s="111"/>
    </row>
    <row r="50" spans="2:7" ht="13.8" x14ac:dyDescent="0.25">
      <c r="B50" s="386" t="s">
        <v>322</v>
      </c>
      <c r="C50" s="481"/>
      <c r="D50" s="481"/>
      <c r="E50" s="508">
        <f>100285.07*1.03</f>
        <v>103293.62210000001</v>
      </c>
      <c r="F50" s="508">
        <f>128955.31*1.03</f>
        <v>132823.9693</v>
      </c>
      <c r="G50" s="111"/>
    </row>
    <row r="51" spans="2:7" ht="13.8" x14ac:dyDescent="0.25">
      <c r="B51" s="386" t="s">
        <v>323</v>
      </c>
      <c r="C51" s="481"/>
      <c r="D51" s="481"/>
      <c r="E51" s="508">
        <f>92607.17*1.03</f>
        <v>95385.3851</v>
      </c>
      <c r="F51" s="508">
        <f>121277.42*1.03</f>
        <v>124915.7426</v>
      </c>
      <c r="G51" s="111"/>
    </row>
    <row r="52" spans="2:7" ht="13.8" x14ac:dyDescent="0.25">
      <c r="B52" s="386" t="s">
        <v>325</v>
      </c>
      <c r="C52" s="481"/>
      <c r="D52" s="481"/>
      <c r="E52" s="508">
        <f>92607.17*1.03</f>
        <v>95385.3851</v>
      </c>
      <c r="F52" s="508">
        <f>121277.42*1.03</f>
        <v>124915.7426</v>
      </c>
      <c r="G52" s="111"/>
    </row>
    <row r="53" spans="2:7" ht="13.8" x14ac:dyDescent="0.25">
      <c r="B53" s="495"/>
      <c r="C53" s="70"/>
      <c r="D53" s="70"/>
      <c r="E53" s="181"/>
      <c r="F53" s="181"/>
      <c r="G53" s="111"/>
    </row>
    <row r="54" spans="2:7" ht="31.5" customHeight="1" x14ac:dyDescent="0.25">
      <c r="B54" s="490" t="s">
        <v>681</v>
      </c>
      <c r="C54" s="578" t="s">
        <v>704</v>
      </c>
      <c r="D54" s="578"/>
      <c r="E54" s="578"/>
      <c r="F54" s="578"/>
      <c r="G54" s="111"/>
    </row>
    <row r="55" spans="2:7" ht="13.8" x14ac:dyDescent="0.25">
      <c r="B55" s="763" t="s">
        <v>321</v>
      </c>
      <c r="C55" s="449" t="s">
        <v>819</v>
      </c>
      <c r="D55" s="481"/>
      <c r="E55" s="509">
        <f>92075.62*1.03</f>
        <v>94837.888599999991</v>
      </c>
      <c r="F55" s="509">
        <f>120745.86*1.03</f>
        <v>124368.23580000001</v>
      </c>
      <c r="G55" s="111"/>
    </row>
    <row r="56" spans="2:7" ht="13.8" x14ac:dyDescent="0.25">
      <c r="B56" s="764"/>
      <c r="C56" s="449" t="s">
        <v>820</v>
      </c>
      <c r="D56" s="481"/>
      <c r="E56" s="509">
        <f>87075.62*1.03</f>
        <v>89687.888599999991</v>
      </c>
      <c r="F56" s="509">
        <f>115745.86*1.03</f>
        <v>119218.23580000001</v>
      </c>
      <c r="G56" s="111"/>
    </row>
    <row r="57" spans="2:7" ht="13.8" x14ac:dyDescent="0.25">
      <c r="B57" s="763" t="s">
        <v>322</v>
      </c>
      <c r="C57" s="450" t="s">
        <v>821</v>
      </c>
      <c r="D57" s="481"/>
      <c r="E57" s="509">
        <f>90599.11*1.03</f>
        <v>93317.083299999998</v>
      </c>
      <c r="F57" s="509">
        <f>119269.35*1.03</f>
        <v>122847.4305</v>
      </c>
      <c r="G57" s="111"/>
    </row>
    <row r="58" spans="2:7" ht="13.8" x14ac:dyDescent="0.25">
      <c r="B58" s="764"/>
      <c r="C58" s="449" t="s">
        <v>820</v>
      </c>
      <c r="D58" s="481"/>
      <c r="E58" s="509">
        <f>86599.11*1.03</f>
        <v>89197.083299999998</v>
      </c>
      <c r="F58" s="509">
        <f>115269.35*1.03</f>
        <v>118727.4305</v>
      </c>
      <c r="G58" s="111"/>
    </row>
    <row r="59" spans="2:7" ht="13.8" x14ac:dyDescent="0.25">
      <c r="B59" s="763" t="s">
        <v>323</v>
      </c>
      <c r="C59" s="450" t="s">
        <v>822</v>
      </c>
      <c r="D59" s="481"/>
      <c r="E59" s="509">
        <f>88472.92*1.03</f>
        <v>91127.107600000003</v>
      </c>
      <c r="F59" s="509">
        <f>117143.17*1.03</f>
        <v>120657.4651</v>
      </c>
      <c r="G59" s="111"/>
    </row>
    <row r="60" spans="2:7" ht="13.8" x14ac:dyDescent="0.25">
      <c r="B60" s="764"/>
      <c r="C60" s="449" t="s">
        <v>820</v>
      </c>
      <c r="D60" s="481"/>
      <c r="E60" s="509">
        <f>84472.92*1.03</f>
        <v>87007.107600000003</v>
      </c>
      <c r="F60" s="509">
        <f>113143.17*1.03</f>
        <v>116537.4651</v>
      </c>
      <c r="G60" s="111"/>
    </row>
    <row r="61" spans="2:7" ht="13.8" x14ac:dyDescent="0.25">
      <c r="B61" s="763" t="s">
        <v>591</v>
      </c>
      <c r="C61" s="450" t="s">
        <v>824</v>
      </c>
      <c r="D61" s="481"/>
      <c r="E61" s="509">
        <f>85100.15*1.03</f>
        <v>87653.15449999999</v>
      </c>
      <c r="F61" s="509">
        <f>113770.39*1.03</f>
        <v>117183.50170000001</v>
      </c>
      <c r="G61" s="111"/>
    </row>
    <row r="62" spans="2:7" ht="13.8" x14ac:dyDescent="0.25">
      <c r="B62" s="764"/>
      <c r="C62" s="449" t="s">
        <v>820</v>
      </c>
      <c r="D62" s="481"/>
      <c r="E62" s="509">
        <f>83100.15*1.03</f>
        <v>85593.15449999999</v>
      </c>
      <c r="F62" s="509">
        <f>111770.39*1.03</f>
        <v>115123.50170000001</v>
      </c>
      <c r="G62" s="111"/>
    </row>
    <row r="63" spans="2:7" ht="13.8" x14ac:dyDescent="0.25">
      <c r="B63" s="495"/>
      <c r="C63" s="70"/>
      <c r="D63" s="70"/>
      <c r="E63" s="181"/>
      <c r="F63" s="181"/>
      <c r="G63" s="111"/>
    </row>
    <row r="64" spans="2:7" ht="31.5" customHeight="1" x14ac:dyDescent="0.25">
      <c r="B64" s="490" t="s">
        <v>680</v>
      </c>
      <c r="C64" s="578" t="s">
        <v>714</v>
      </c>
      <c r="D64" s="578"/>
      <c r="E64" s="578"/>
      <c r="F64" s="578"/>
      <c r="G64" s="111"/>
    </row>
    <row r="65" spans="2:7" ht="13.8" x14ac:dyDescent="0.25">
      <c r="B65" s="390" t="s">
        <v>323</v>
      </c>
      <c r="C65" s="389"/>
      <c r="D65" s="389"/>
      <c r="E65" s="509">
        <f>92607.17*1.03</f>
        <v>95385.3851</v>
      </c>
      <c r="F65" s="509">
        <f>121277.42*1.03</f>
        <v>124915.7426</v>
      </c>
      <c r="G65" s="111"/>
    </row>
    <row r="66" spans="2:7" ht="13.8" x14ac:dyDescent="0.25">
      <c r="B66" s="386" t="s">
        <v>591</v>
      </c>
      <c r="C66" s="481"/>
      <c r="D66" s="481"/>
      <c r="E66" s="509">
        <f>92323.68*1.03</f>
        <v>95093.390399999989</v>
      </c>
      <c r="F66" s="509">
        <f>120993.92*1.03</f>
        <v>124623.73760000001</v>
      </c>
      <c r="G66" s="111"/>
    </row>
    <row r="67" spans="2:7" ht="13.8" x14ac:dyDescent="0.25">
      <c r="B67" s="495"/>
      <c r="C67" s="70"/>
      <c r="D67" s="70"/>
      <c r="E67" s="233"/>
      <c r="F67" s="233"/>
      <c r="G67" s="111"/>
    </row>
    <row r="68" spans="2:7" ht="13.95" customHeight="1" x14ac:dyDescent="0.3">
      <c r="B68" s="391" t="s">
        <v>772</v>
      </c>
      <c r="C68" s="762" t="s">
        <v>771</v>
      </c>
      <c r="D68" s="762"/>
      <c r="E68" s="762"/>
      <c r="F68" s="762"/>
      <c r="G68" s="111"/>
    </row>
    <row r="69" spans="2:7" ht="13.95" customHeight="1" x14ac:dyDescent="0.25">
      <c r="B69" s="386" t="s">
        <v>773</v>
      </c>
      <c r="C69" s="498"/>
      <c r="D69" s="498"/>
      <c r="E69" s="498">
        <f>135135*1.03</f>
        <v>139189.05000000002</v>
      </c>
      <c r="F69" s="498">
        <f>161122.5*1.03</f>
        <v>165956.17500000002</v>
      </c>
      <c r="G69" s="111"/>
    </row>
    <row r="70" spans="2:7" ht="13.95" customHeight="1" x14ac:dyDescent="0.25">
      <c r="B70" s="232"/>
      <c r="C70" s="168"/>
      <c r="D70" s="168"/>
      <c r="E70" s="168"/>
      <c r="F70" s="168"/>
      <c r="G70" s="111"/>
    </row>
    <row r="71" spans="2:7" ht="13.8" x14ac:dyDescent="0.25">
      <c r="B71" s="495"/>
      <c r="C71" s="168"/>
      <c r="D71" s="79"/>
      <c r="E71" s="168"/>
      <c r="F71" s="239">
        <v>41091</v>
      </c>
      <c r="G71" s="168"/>
    </row>
    <row r="72" spans="2:7" ht="13.2" customHeight="1" x14ac:dyDescent="0.25">
      <c r="B72" s="759" t="s">
        <v>26</v>
      </c>
      <c r="C72" s="757" t="s">
        <v>392</v>
      </c>
      <c r="D72" s="757"/>
      <c r="E72" s="757"/>
      <c r="F72" s="757"/>
    </row>
    <row r="73" spans="2:7" ht="13.95" customHeight="1" x14ac:dyDescent="0.25">
      <c r="B73" s="759"/>
      <c r="C73" s="757"/>
      <c r="D73" s="757"/>
      <c r="E73" s="757"/>
      <c r="F73" s="757"/>
    </row>
    <row r="74" spans="2:7" ht="13.8" x14ac:dyDescent="0.25">
      <c r="B74" s="742" t="s">
        <v>310</v>
      </c>
      <c r="C74" s="758" t="s">
        <v>276</v>
      </c>
      <c r="D74" s="758"/>
      <c r="E74" s="758"/>
      <c r="F74" s="481"/>
    </row>
    <row r="75" spans="2:7" ht="46.2" customHeight="1" x14ac:dyDescent="0.25">
      <c r="B75" s="742"/>
      <c r="C75" s="493" t="s">
        <v>262</v>
      </c>
      <c r="D75" s="416" t="s">
        <v>327</v>
      </c>
      <c r="E75" s="417" t="s">
        <v>812</v>
      </c>
      <c r="F75" s="414" t="s">
        <v>807</v>
      </c>
    </row>
    <row r="76" spans="2:7" ht="13.8" x14ac:dyDescent="0.25">
      <c r="B76" s="386" t="s">
        <v>504</v>
      </c>
      <c r="C76" s="498">
        <f>117128.48*1.03</f>
        <v>120642.33439999999</v>
      </c>
      <c r="D76" s="510">
        <f>127844.74*1.03</f>
        <v>131680.0822</v>
      </c>
      <c r="E76" s="511">
        <f>120237.98*1.03</f>
        <v>123845.1194</v>
      </c>
      <c r="F76" s="756" t="s">
        <v>808</v>
      </c>
      <c r="G76" s="111"/>
    </row>
    <row r="77" spans="2:7" ht="13.8" x14ac:dyDescent="0.25">
      <c r="B77" s="386" t="s">
        <v>503</v>
      </c>
      <c r="C77" s="498">
        <f>82380.32*1.03</f>
        <v>84851.729600000006</v>
      </c>
      <c r="D77" s="510">
        <f>93096.57*1.03</f>
        <v>95889.467100000009</v>
      </c>
      <c r="E77" s="511">
        <f>87557.32*1.03</f>
        <v>90184.039600000004</v>
      </c>
      <c r="F77" s="756"/>
      <c r="G77" s="111"/>
    </row>
    <row r="78" spans="2:7" ht="13.8" x14ac:dyDescent="0.25">
      <c r="B78" s="386" t="s">
        <v>328</v>
      </c>
      <c r="C78" s="498">
        <f>76195.51*1.03</f>
        <v>78481.3753</v>
      </c>
      <c r="D78" s="510">
        <f>86911.76*1.03</f>
        <v>89519.112800000003</v>
      </c>
      <c r="E78" s="511">
        <f>81740.52*1.03</f>
        <v>84192.7356</v>
      </c>
      <c r="F78" s="756"/>
      <c r="G78" s="111"/>
    </row>
    <row r="79" spans="2:7" ht="13.8" x14ac:dyDescent="0.25">
      <c r="B79" s="386" t="s">
        <v>329</v>
      </c>
      <c r="C79" s="498">
        <f>76195.51*1.03</f>
        <v>78481.3753</v>
      </c>
      <c r="D79" s="510">
        <f>86911.76*1.03</f>
        <v>89519.112800000003</v>
      </c>
      <c r="E79" s="511">
        <f>81740.52*1.03</f>
        <v>84192.7356</v>
      </c>
      <c r="F79" s="756"/>
      <c r="G79" s="111"/>
    </row>
    <row r="80" spans="2:7" ht="13.8" x14ac:dyDescent="0.25">
      <c r="B80" s="386" t="s">
        <v>330</v>
      </c>
      <c r="C80" s="498">
        <f>76195.51*1.03</f>
        <v>78481.3753</v>
      </c>
      <c r="D80" s="510">
        <f>86911.76*1.03</f>
        <v>89519.112800000003</v>
      </c>
      <c r="E80" s="511">
        <f>81740.52*1.03</f>
        <v>84192.7356</v>
      </c>
      <c r="F80" s="756"/>
      <c r="G80" s="111"/>
    </row>
    <row r="81" spans="2:7" ht="13.8" x14ac:dyDescent="0.25">
      <c r="B81" s="386" t="s">
        <v>331</v>
      </c>
      <c r="C81" s="498">
        <f>75944.45*1.03</f>
        <v>78222.783500000005</v>
      </c>
      <c r="D81" s="510">
        <f>86660.69*1.03</f>
        <v>89260.510699999999</v>
      </c>
      <c r="E81" s="511">
        <f>81504.38*1.03</f>
        <v>83949.511400000003</v>
      </c>
      <c r="F81" s="756" t="s">
        <v>809</v>
      </c>
      <c r="G81" s="111"/>
    </row>
    <row r="82" spans="2:7" ht="13.8" x14ac:dyDescent="0.25">
      <c r="B82" s="386" t="s">
        <v>332</v>
      </c>
      <c r="C82" s="498">
        <f>75944.45*1.03</f>
        <v>78222.783500000005</v>
      </c>
      <c r="D82" s="510">
        <f>86660.69*1.03</f>
        <v>89260.510699999999</v>
      </c>
      <c r="E82" s="511">
        <f>81504.38*1.03</f>
        <v>83949.511400000003</v>
      </c>
      <c r="F82" s="756"/>
      <c r="G82" s="111"/>
    </row>
    <row r="83" spans="2:7" ht="13.8" x14ac:dyDescent="0.25">
      <c r="B83" s="386" t="s">
        <v>333</v>
      </c>
      <c r="C83" s="498">
        <f>75944.45*1.03</f>
        <v>78222.783500000005</v>
      </c>
      <c r="D83" s="510">
        <f>86660.69*1.03</f>
        <v>89260.510699999999</v>
      </c>
      <c r="E83" s="511">
        <f>81504.38*1.03</f>
        <v>83949.511400000003</v>
      </c>
      <c r="F83" s="756"/>
      <c r="G83" s="111"/>
    </row>
    <row r="84" spans="2:7" ht="13.8" x14ac:dyDescent="0.25">
      <c r="B84" s="386" t="s">
        <v>334</v>
      </c>
      <c r="C84" s="498">
        <f>75944.45*1.03</f>
        <v>78222.783500000005</v>
      </c>
      <c r="D84" s="510">
        <f>86660.69*1.03</f>
        <v>89260.510699999999</v>
      </c>
      <c r="E84" s="511">
        <f>81504.38*1.03</f>
        <v>83949.511400000003</v>
      </c>
      <c r="F84" s="756"/>
      <c r="G84" s="111"/>
    </row>
    <row r="85" spans="2:7" ht="13.8" x14ac:dyDescent="0.25">
      <c r="B85" s="386" t="s">
        <v>335</v>
      </c>
      <c r="C85" s="498">
        <f t="shared" ref="C85:C90" si="0">75301.48*1.03</f>
        <v>77560.524399999995</v>
      </c>
      <c r="D85" s="510">
        <f t="shared" ref="D85:D90" si="1">86017.72*1.03</f>
        <v>88598.251600000003</v>
      </c>
      <c r="E85" s="511">
        <f t="shared" ref="E85:E90" si="2">80899.67*1.03</f>
        <v>83326.660099999994</v>
      </c>
      <c r="F85" s="415" t="s">
        <v>810</v>
      </c>
      <c r="G85" s="111"/>
    </row>
    <row r="86" spans="2:7" ht="13.8" x14ac:dyDescent="0.25">
      <c r="B86" s="386" t="s">
        <v>336</v>
      </c>
      <c r="C86" s="498">
        <f t="shared" si="0"/>
        <v>77560.524399999995</v>
      </c>
      <c r="D86" s="510">
        <f t="shared" si="1"/>
        <v>88598.251600000003</v>
      </c>
      <c r="E86" s="511">
        <f t="shared" si="2"/>
        <v>83326.660099999994</v>
      </c>
      <c r="F86" s="756" t="s">
        <v>811</v>
      </c>
      <c r="G86" s="111"/>
    </row>
    <row r="87" spans="2:7" ht="13.8" x14ac:dyDescent="0.25">
      <c r="B87" s="386" t="s">
        <v>337</v>
      </c>
      <c r="C87" s="498">
        <f t="shared" si="0"/>
        <v>77560.524399999995</v>
      </c>
      <c r="D87" s="510">
        <f t="shared" si="1"/>
        <v>88598.251600000003</v>
      </c>
      <c r="E87" s="511">
        <f t="shared" si="2"/>
        <v>83326.660099999994</v>
      </c>
      <c r="F87" s="756"/>
      <c r="G87" s="111"/>
    </row>
    <row r="88" spans="2:7" ht="13.8" x14ac:dyDescent="0.25">
      <c r="B88" s="386" t="s">
        <v>505</v>
      </c>
      <c r="C88" s="498">
        <f t="shared" si="0"/>
        <v>77560.524399999995</v>
      </c>
      <c r="D88" s="510">
        <f t="shared" si="1"/>
        <v>88598.251600000003</v>
      </c>
      <c r="E88" s="511">
        <f t="shared" si="2"/>
        <v>83326.660099999994</v>
      </c>
      <c r="F88" s="756"/>
      <c r="G88" s="111"/>
    </row>
    <row r="89" spans="2:7" ht="13.8" x14ac:dyDescent="0.25">
      <c r="B89" s="386" t="s">
        <v>338</v>
      </c>
      <c r="C89" s="498">
        <f t="shared" si="0"/>
        <v>77560.524399999995</v>
      </c>
      <c r="D89" s="510">
        <f t="shared" si="1"/>
        <v>88598.251600000003</v>
      </c>
      <c r="E89" s="511">
        <f t="shared" si="2"/>
        <v>83326.660099999994</v>
      </c>
      <c r="F89" s="756"/>
      <c r="G89" s="111"/>
    </row>
    <row r="90" spans="2:7" ht="13.2" customHeight="1" x14ac:dyDescent="0.25">
      <c r="B90" s="386" t="s">
        <v>339</v>
      </c>
      <c r="C90" s="498">
        <f t="shared" si="0"/>
        <v>77560.524399999995</v>
      </c>
      <c r="D90" s="510">
        <f t="shared" si="1"/>
        <v>88598.251600000003</v>
      </c>
      <c r="E90" s="511">
        <f t="shared" si="2"/>
        <v>83326.660099999994</v>
      </c>
      <c r="F90" s="756"/>
      <c r="G90" s="111"/>
    </row>
    <row r="91" spans="2:7" ht="13.8" x14ac:dyDescent="0.25">
      <c r="B91" s="411"/>
      <c r="C91" s="412"/>
      <c r="D91" s="70"/>
      <c r="E91" s="70"/>
      <c r="F91" s="413" t="s">
        <v>813</v>
      </c>
      <c r="G91" s="70"/>
    </row>
  </sheetData>
  <mergeCells count="29">
    <mergeCell ref="B61:B62"/>
    <mergeCell ref="C17:D17"/>
    <mergeCell ref="B2:B3"/>
    <mergeCell ref="B4:B6"/>
    <mergeCell ref="C2:F3"/>
    <mergeCell ref="C4:F4"/>
    <mergeCell ref="C5:D5"/>
    <mergeCell ref="E5:F5"/>
    <mergeCell ref="B72:B73"/>
    <mergeCell ref="C31:F31"/>
    <mergeCell ref="B22:D22"/>
    <mergeCell ref="B74:B75"/>
    <mergeCell ref="C36:F36"/>
    <mergeCell ref="C54:F54"/>
    <mergeCell ref="C48:F48"/>
    <mergeCell ref="C64:F64"/>
    <mergeCell ref="C68:F68"/>
    <mergeCell ref="B39:B40"/>
    <mergeCell ref="B41:B42"/>
    <mergeCell ref="B43:B44"/>
    <mergeCell ref="B45:B46"/>
    <mergeCell ref="B55:B56"/>
    <mergeCell ref="B57:B58"/>
    <mergeCell ref="B59:B60"/>
    <mergeCell ref="F76:F80"/>
    <mergeCell ref="F81:F84"/>
    <mergeCell ref="F86:F90"/>
    <mergeCell ref="C72:F73"/>
    <mergeCell ref="C74:E74"/>
  </mergeCells>
  <phoneticPr fontId="0" type="noConversion"/>
  <hyperlinks>
    <hyperlink ref="G1" location="'3'!A1" display="Оглавление"/>
  </hyperlinks>
  <printOptions horizontalCentered="1"/>
  <pageMargins left="0.59055118110236227" right="0.59055118110236227" top="0.15748031496062992" bottom="0.11811023622047245" header="0.19685039370078741" footer="0.23622047244094491"/>
  <pageSetup paperSize="9" scale="60" orientation="portrait" r:id="rId1"/>
  <headerFooter alignWithMargins="0">
    <oddHeader>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B1:F93"/>
  <sheetViews>
    <sheetView view="pageBreakPreview" zoomScale="85" zoomScaleNormal="75" workbookViewId="0">
      <pane ySplit="2" topLeftCell="A20" activePane="bottomLeft" state="frozen"/>
      <selection pane="bottomLeft" activeCell="C56" sqref="C56"/>
    </sheetView>
  </sheetViews>
  <sheetFormatPr defaultColWidth="8.88671875" defaultRowHeight="13.2" x14ac:dyDescent="0.25"/>
  <cols>
    <col min="1" max="1" width="8.88671875" style="24"/>
    <col min="2" max="2" width="20.6640625" style="24" bestFit="1" customWidth="1"/>
    <col min="3" max="3" width="17.33203125" style="24" bestFit="1" customWidth="1"/>
    <col min="4" max="4" width="18.5546875" style="24" bestFit="1" customWidth="1"/>
    <col min="5" max="6" width="10.6640625" style="24" bestFit="1" customWidth="1"/>
    <col min="7" max="16384" width="8.88671875" style="24"/>
  </cols>
  <sheetData>
    <row r="1" spans="2:5" ht="13.8" x14ac:dyDescent="0.25">
      <c r="B1" s="493" t="s">
        <v>309</v>
      </c>
      <c r="C1" s="758" t="s">
        <v>276</v>
      </c>
      <c r="D1" s="758"/>
      <c r="E1" s="54" t="s">
        <v>466</v>
      </c>
    </row>
    <row r="2" spans="2:5" ht="13.8" x14ac:dyDescent="0.25">
      <c r="B2" s="493" t="s">
        <v>310</v>
      </c>
      <c r="C2" s="493" t="s">
        <v>262</v>
      </c>
      <c r="D2" s="493" t="s">
        <v>327</v>
      </c>
    </row>
    <row r="3" spans="2:5" ht="13.8" x14ac:dyDescent="0.25">
      <c r="B3" s="68"/>
      <c r="C3" s="68"/>
      <c r="D3" s="68"/>
    </row>
    <row r="4" spans="2:5" ht="13.8" x14ac:dyDescent="0.25">
      <c r="D4" s="79">
        <v>41091</v>
      </c>
    </row>
    <row r="5" spans="2:5" x14ac:dyDescent="0.25">
      <c r="B5" s="767" t="s">
        <v>398</v>
      </c>
      <c r="C5" s="757" t="s">
        <v>345</v>
      </c>
      <c r="D5" s="757"/>
    </row>
    <row r="6" spans="2:5" x14ac:dyDescent="0.25">
      <c r="B6" s="767"/>
      <c r="C6" s="757"/>
      <c r="D6" s="757"/>
    </row>
    <row r="7" spans="2:5" ht="13.8" x14ac:dyDescent="0.25">
      <c r="B7" s="386" t="s">
        <v>61</v>
      </c>
      <c r="C7" s="498">
        <f>108421.62*1.03</f>
        <v>111674.2686</v>
      </c>
      <c r="D7" s="498">
        <f>116662.46*1.03</f>
        <v>120162.33380000001</v>
      </c>
    </row>
    <row r="8" spans="2:5" ht="13.8" x14ac:dyDescent="0.25">
      <c r="B8" s="386" t="s">
        <v>62</v>
      </c>
      <c r="C8" s="498">
        <f>90477.17*1.03</f>
        <v>93191.485100000005</v>
      </c>
      <c r="D8" s="498">
        <f>99059.8*1.03</f>
        <v>102031.59400000001</v>
      </c>
    </row>
    <row r="9" spans="2:5" ht="13.8" x14ac:dyDescent="0.25">
      <c r="B9" s="386" t="s">
        <v>63</v>
      </c>
      <c r="C9" s="498">
        <f>82854.25*1.03</f>
        <v>85339.877500000002</v>
      </c>
      <c r="D9" s="498">
        <f>91582.07*1.03</f>
        <v>94329.532100000011</v>
      </c>
    </row>
    <row r="10" spans="2:5" ht="13.8" x14ac:dyDescent="0.25">
      <c r="B10" s="386" t="s">
        <v>64</v>
      </c>
      <c r="C10" s="498">
        <f>74872.59*1.03</f>
        <v>77118.767699999997</v>
      </c>
      <c r="D10" s="498">
        <f>83752.45*1.03</f>
        <v>86265.023499999996</v>
      </c>
    </row>
    <row r="11" spans="2:5" ht="13.8" x14ac:dyDescent="0.25">
      <c r="B11" s="386" t="s">
        <v>65</v>
      </c>
      <c r="C11" s="498">
        <f>69796.64*1.03</f>
        <v>71890.539199999999</v>
      </c>
      <c r="D11" s="498">
        <f>78773.17*1.03</f>
        <v>81136.365099999995</v>
      </c>
    </row>
    <row r="12" spans="2:5" ht="13.8" x14ac:dyDescent="0.25">
      <c r="B12" s="386" t="s">
        <v>66</v>
      </c>
      <c r="C12" s="498">
        <f>64486.55*1.03</f>
        <v>66421.146500000003</v>
      </c>
      <c r="D12" s="498">
        <f>73564.23*1.03</f>
        <v>75771.156900000002</v>
      </c>
    </row>
    <row r="13" spans="2:5" ht="13.8" x14ac:dyDescent="0.25">
      <c r="B13" s="386" t="s">
        <v>67</v>
      </c>
      <c r="C13" s="498">
        <f>64291.42*1.03</f>
        <v>66220.162599999996</v>
      </c>
      <c r="D13" s="498">
        <f>73372.82*1.03</f>
        <v>75574.004600000015</v>
      </c>
    </row>
    <row r="14" spans="2:5" ht="13.8" x14ac:dyDescent="0.25">
      <c r="B14" s="386" t="s">
        <v>68</v>
      </c>
      <c r="C14" s="498">
        <f>60857.43*1.03</f>
        <v>62683.152900000001</v>
      </c>
      <c r="D14" s="498">
        <f>70004.24*1.03</f>
        <v>72104.367200000008</v>
      </c>
    </row>
    <row r="15" spans="2:5" ht="13.8" x14ac:dyDescent="0.25">
      <c r="B15" s="386" t="s">
        <v>346</v>
      </c>
      <c r="C15" s="498">
        <f>60237.57*1.03</f>
        <v>62044.697100000005</v>
      </c>
      <c r="D15" s="498">
        <f>69396.2*1.03</f>
        <v>71478.085999999996</v>
      </c>
    </row>
    <row r="16" spans="2:5" ht="13.8" x14ac:dyDescent="0.25">
      <c r="B16" s="386" t="s">
        <v>347</v>
      </c>
      <c r="C16" s="498">
        <f>57758.11*1.03</f>
        <v>59490.853300000002</v>
      </c>
      <c r="D16" s="498">
        <f>66963.98*1.03</f>
        <v>68972.899399999995</v>
      </c>
    </row>
    <row r="17" spans="2:6" ht="13.8" x14ac:dyDescent="0.25">
      <c r="B17" s="386" t="s">
        <v>348</v>
      </c>
      <c r="C17" s="498">
        <f>66631.22*1.03</f>
        <v>68630.156600000002</v>
      </c>
      <c r="D17" s="498">
        <f>75199.6*1.03</f>
        <v>77455.588000000003</v>
      </c>
    </row>
    <row r="18" spans="2:6" ht="13.95" customHeight="1" x14ac:dyDescent="0.25">
      <c r="B18" s="386" t="s">
        <v>349</v>
      </c>
      <c r="C18" s="498">
        <f>65583.97*1.03</f>
        <v>67551.489100000006</v>
      </c>
      <c r="D18" s="498">
        <f>74172.29*1.03</f>
        <v>76397.458699999988</v>
      </c>
    </row>
    <row r="19" spans="2:6" ht="13.95" customHeight="1" x14ac:dyDescent="0.25">
      <c r="B19" s="495"/>
      <c r="C19" s="55"/>
      <c r="D19" s="55"/>
    </row>
    <row r="20" spans="2:6" ht="13.8" x14ac:dyDescent="0.25">
      <c r="B20" s="90"/>
      <c r="C20" s="90"/>
      <c r="D20" s="79">
        <v>41091</v>
      </c>
    </row>
    <row r="21" spans="2:6" ht="13.2" customHeight="1" x14ac:dyDescent="0.25">
      <c r="B21" s="767" t="s">
        <v>393</v>
      </c>
      <c r="C21" s="751" t="s">
        <v>394</v>
      </c>
      <c r="D21" s="751"/>
    </row>
    <row r="22" spans="2:6" ht="23.4" customHeight="1" x14ac:dyDescent="0.25">
      <c r="B22" s="767"/>
      <c r="C22" s="751"/>
      <c r="D22" s="751"/>
    </row>
    <row r="23" spans="2:6" ht="13.8" x14ac:dyDescent="0.25">
      <c r="B23" s="386" t="s">
        <v>340</v>
      </c>
      <c r="C23" s="498">
        <f>79646.55*1.03</f>
        <v>82035.946500000005</v>
      </c>
      <c r="D23" s="498">
        <f>88635.61*1.03</f>
        <v>91294.6783</v>
      </c>
      <c r="E23" s="111"/>
      <c r="F23" s="111"/>
    </row>
    <row r="24" spans="2:6" ht="13.8" x14ac:dyDescent="0.25">
      <c r="B24" s="386" t="s">
        <v>341</v>
      </c>
      <c r="C24" s="498">
        <f>69269.98*1.03</f>
        <v>71348.079400000002</v>
      </c>
      <c r="D24" s="498">
        <f>78456.68*1.03</f>
        <v>80810.380399999995</v>
      </c>
      <c r="E24" s="111"/>
      <c r="F24" s="111"/>
    </row>
    <row r="25" spans="2:6" ht="13.8" x14ac:dyDescent="0.25">
      <c r="B25" s="386" t="s">
        <v>342</v>
      </c>
      <c r="C25" s="498">
        <f>66840.33*1.03</f>
        <v>68845.539900000003</v>
      </c>
      <c r="D25" s="498">
        <f>76073.28*1.03</f>
        <v>78355.478400000007</v>
      </c>
      <c r="E25" s="111"/>
      <c r="F25" s="111"/>
    </row>
    <row r="26" spans="2:6" ht="13.8" x14ac:dyDescent="0.25">
      <c r="B26" s="386" t="s">
        <v>343</v>
      </c>
      <c r="C26" s="498">
        <f>62614.42*1.03</f>
        <v>64492.852599999998</v>
      </c>
      <c r="D26" s="498">
        <f>71927.9*1.03</f>
        <v>74085.736999999994</v>
      </c>
      <c r="E26" s="111"/>
      <c r="F26" s="111"/>
    </row>
    <row r="27" spans="2:6" ht="13.8" x14ac:dyDescent="0.25">
      <c r="B27" s="386" t="s">
        <v>344</v>
      </c>
      <c r="C27" s="498">
        <f>61707.13*1.03</f>
        <v>63558.3439</v>
      </c>
      <c r="D27" s="498">
        <f>71037.85*1.03</f>
        <v>73168.98550000001</v>
      </c>
      <c r="E27" s="111"/>
      <c r="F27" s="111"/>
    </row>
    <row r="28" spans="2:6" ht="13.8" x14ac:dyDescent="0.25">
      <c r="B28" s="386" t="s">
        <v>426</v>
      </c>
      <c r="C28" s="498">
        <f>58036.6*1.03</f>
        <v>59777.697999999997</v>
      </c>
      <c r="D28" s="498">
        <f>67437.27*1.03</f>
        <v>69460.388100000011</v>
      </c>
      <c r="E28" s="111"/>
      <c r="F28" s="111"/>
    </row>
    <row r="29" spans="2:6" ht="13.8" x14ac:dyDescent="0.25">
      <c r="B29" s="386" t="s">
        <v>427</v>
      </c>
      <c r="C29" s="498">
        <f>53318.01*1.03</f>
        <v>54917.550300000003</v>
      </c>
      <c r="D29" s="498">
        <f>62808.55*1.03</f>
        <v>64692.806500000006</v>
      </c>
      <c r="E29" s="111"/>
      <c r="F29" s="111"/>
    </row>
    <row r="30" spans="2:6" ht="13.8" x14ac:dyDescent="0.25">
      <c r="B30" s="386" t="s">
        <v>60</v>
      </c>
      <c r="C30" s="498">
        <f>52256.21*1.03</f>
        <v>53823.8963</v>
      </c>
      <c r="D30" s="498">
        <f>61766.96*1.03</f>
        <v>63619.968800000002</v>
      </c>
      <c r="E30" s="111"/>
      <c r="F30" s="111"/>
    </row>
    <row r="31" spans="2:6" ht="15" customHeight="1" x14ac:dyDescent="0.25">
      <c r="B31" s="68"/>
      <c r="C31" s="68"/>
      <c r="D31" s="68"/>
    </row>
    <row r="32" spans="2:6" ht="13.2" customHeight="1" x14ac:dyDescent="0.25">
      <c r="B32" s="767"/>
      <c r="C32" s="751" t="s">
        <v>70</v>
      </c>
      <c r="D32" s="751"/>
    </row>
    <row r="33" spans="2:6" ht="13.2" customHeight="1" x14ac:dyDescent="0.25">
      <c r="B33" s="767"/>
      <c r="C33" s="751"/>
      <c r="D33" s="751"/>
    </row>
    <row r="34" spans="2:6" ht="13.8" x14ac:dyDescent="0.25">
      <c r="B34" s="386" t="s">
        <v>82</v>
      </c>
      <c r="C34" s="512">
        <f>60796.74*1.03</f>
        <v>62620.642200000002</v>
      </c>
      <c r="D34" s="512">
        <f>70307.88*1.03</f>
        <v>72417.116400000014</v>
      </c>
      <c r="E34" s="111"/>
    </row>
    <row r="35" spans="2:6" ht="13.8" x14ac:dyDescent="0.25">
      <c r="B35" s="499"/>
      <c r="C35" s="499"/>
      <c r="D35" s="91"/>
    </row>
    <row r="36" spans="2:6" ht="13.8" x14ac:dyDescent="0.25">
      <c r="B36" s="499"/>
      <c r="C36" s="499"/>
      <c r="D36" s="91"/>
    </row>
    <row r="37" spans="2:6" ht="13.2" customHeight="1" x14ac:dyDescent="0.25">
      <c r="B37" s="767" t="s">
        <v>395</v>
      </c>
      <c r="C37" s="751" t="s">
        <v>72</v>
      </c>
      <c r="D37" s="751"/>
    </row>
    <row r="38" spans="2:6" ht="18.600000000000001" customHeight="1" x14ac:dyDescent="0.25">
      <c r="B38" s="767"/>
      <c r="C38" s="751"/>
      <c r="D38" s="751"/>
    </row>
    <row r="39" spans="2:6" ht="13.8" x14ac:dyDescent="0.25">
      <c r="B39" s="386" t="s">
        <v>340</v>
      </c>
      <c r="C39" s="498">
        <f>81239.3*1.03</f>
        <v>83676.479000000007</v>
      </c>
      <c r="D39" s="498">
        <f>90198.01*1.03</f>
        <v>92903.950299999997</v>
      </c>
      <c r="E39" s="111"/>
      <c r="F39" s="111"/>
    </row>
    <row r="40" spans="2:6" ht="13.8" x14ac:dyDescent="0.25">
      <c r="B40" s="386" t="s">
        <v>341</v>
      </c>
      <c r="C40" s="498">
        <f>70654.67*1.03</f>
        <v>72774.310100000002</v>
      </c>
      <c r="D40" s="498">
        <f>79814.97*1.03</f>
        <v>82209.419099999999</v>
      </c>
      <c r="E40" s="111"/>
      <c r="F40" s="111"/>
    </row>
    <row r="41" spans="2:6" ht="13.8" x14ac:dyDescent="0.25">
      <c r="B41" s="386" t="s">
        <v>342</v>
      </c>
      <c r="C41" s="498">
        <f>68177.56*1.03</f>
        <v>70222.886799999993</v>
      </c>
      <c r="D41" s="498">
        <f>77385.04*1.03</f>
        <v>79706.591199999995</v>
      </c>
      <c r="E41" s="111"/>
      <c r="F41" s="111"/>
    </row>
    <row r="42" spans="2:6" ht="13.8" x14ac:dyDescent="0.25">
      <c r="B42" s="386" t="s">
        <v>343</v>
      </c>
      <c r="C42" s="498">
        <f>63867.48*1.03</f>
        <v>65783.504400000005</v>
      </c>
      <c r="D42" s="498">
        <f>73157.08*1.03</f>
        <v>75351.792400000006</v>
      </c>
      <c r="E42" s="111"/>
      <c r="F42" s="111"/>
    </row>
    <row r="43" spans="2:6" ht="13.8" x14ac:dyDescent="0.25">
      <c r="B43" s="386" t="s">
        <v>344</v>
      </c>
      <c r="C43" s="498">
        <f>62941.84*1.03</f>
        <v>64830.095199999996</v>
      </c>
      <c r="D43" s="498">
        <f>72249.05*1.03</f>
        <v>74416.521500000003</v>
      </c>
      <c r="E43" s="111"/>
      <c r="F43" s="111"/>
    </row>
    <row r="44" spans="2:6" ht="13.8" x14ac:dyDescent="0.25">
      <c r="B44" s="386" t="s">
        <v>426</v>
      </c>
      <c r="C44" s="498">
        <f>59196.37*1.03</f>
        <v>60972.261100000003</v>
      </c>
      <c r="D44" s="498">
        <f>68574.92*1.03</f>
        <v>70632.167600000001</v>
      </c>
      <c r="E44" s="111"/>
      <c r="F44" s="111"/>
    </row>
    <row r="45" spans="2:6" ht="13.8" x14ac:dyDescent="0.25">
      <c r="B45" s="386" t="s">
        <v>427</v>
      </c>
      <c r="C45" s="498">
        <f>54384.47*1.03</f>
        <v>56016.004100000006</v>
      </c>
      <c r="D45" s="498">
        <f>63854.67*1.03</f>
        <v>65770.310100000002</v>
      </c>
      <c r="E45" s="111"/>
      <c r="F45" s="111"/>
    </row>
    <row r="46" spans="2:6" ht="13.8" x14ac:dyDescent="0.25">
      <c r="B46" s="386" t="s">
        <v>832</v>
      </c>
      <c r="C46" s="498">
        <f>53302.74*1.03</f>
        <v>54901.822200000002</v>
      </c>
      <c r="D46" s="498">
        <f>62793.55*1.03</f>
        <v>64677.356500000002</v>
      </c>
      <c r="E46" s="111"/>
      <c r="F46" s="111"/>
    </row>
    <row r="47" spans="2:6" ht="13.8" x14ac:dyDescent="0.25">
      <c r="B47" s="495"/>
      <c r="C47" s="55"/>
      <c r="D47" s="55"/>
    </row>
    <row r="48" spans="2:6" ht="13.8" x14ac:dyDescent="0.25">
      <c r="B48" s="495"/>
      <c r="C48" s="55"/>
      <c r="D48" s="91"/>
    </row>
    <row r="49" spans="2:5" ht="13.2" customHeight="1" x14ac:dyDescent="0.25">
      <c r="B49" s="767" t="s">
        <v>473</v>
      </c>
      <c r="C49" s="751" t="s">
        <v>71</v>
      </c>
      <c r="D49" s="751"/>
    </row>
    <row r="50" spans="2:5" ht="16.95" customHeight="1" x14ac:dyDescent="0.25">
      <c r="B50" s="767"/>
      <c r="C50" s="751"/>
      <c r="D50" s="751"/>
    </row>
    <row r="51" spans="2:5" ht="18" customHeight="1" x14ac:dyDescent="0.25">
      <c r="B51" s="386" t="s">
        <v>656</v>
      </c>
      <c r="C51" s="513">
        <f>53833.66*1.03</f>
        <v>55448.669800000003</v>
      </c>
      <c r="D51" s="513">
        <f>63344.81*1.03</f>
        <v>65245.154300000002</v>
      </c>
      <c r="E51" s="111"/>
    </row>
    <row r="52" spans="2:5" ht="13.8" x14ac:dyDescent="0.25">
      <c r="B52" s="495"/>
      <c r="C52" s="55"/>
      <c r="D52" s="55"/>
    </row>
    <row r="53" spans="2:5" ht="13.8" x14ac:dyDescent="0.25">
      <c r="B53" s="495"/>
      <c r="C53" s="55"/>
      <c r="D53" s="91"/>
    </row>
    <row r="54" spans="2:5" ht="13.2" customHeight="1" x14ac:dyDescent="0.25">
      <c r="B54" s="767" t="s">
        <v>658</v>
      </c>
      <c r="C54" s="751" t="s">
        <v>73</v>
      </c>
      <c r="D54" s="751"/>
    </row>
    <row r="55" spans="2:5" ht="18.600000000000001" customHeight="1" x14ac:dyDescent="0.25">
      <c r="B55" s="767"/>
      <c r="C55" s="751"/>
      <c r="D55" s="751"/>
    </row>
    <row r="56" spans="2:5" ht="19.2" customHeight="1" x14ac:dyDescent="0.25">
      <c r="B56" s="386" t="s">
        <v>657</v>
      </c>
      <c r="C56" s="513">
        <f>52785.58*1.03</f>
        <v>54369.147400000002</v>
      </c>
      <c r="D56" s="513">
        <f>62296.73*1.03</f>
        <v>64165.631900000008</v>
      </c>
      <c r="E56" s="111"/>
    </row>
    <row r="57" spans="2:5" ht="13.8" x14ac:dyDescent="0.25">
      <c r="B57" s="495"/>
      <c r="C57" s="55"/>
      <c r="D57" s="55"/>
    </row>
    <row r="58" spans="2:5" ht="13.8" x14ac:dyDescent="0.25">
      <c r="B58" s="495"/>
      <c r="C58" s="55"/>
      <c r="D58" s="91"/>
    </row>
    <row r="59" spans="2:5" ht="13.95" hidden="1" customHeight="1" x14ac:dyDescent="0.25">
      <c r="B59" s="495"/>
      <c r="C59" s="55"/>
      <c r="D59" s="55"/>
    </row>
    <row r="60" spans="2:5" ht="13.95" hidden="1" customHeight="1" x14ac:dyDescent="0.25">
      <c r="B60" s="495"/>
      <c r="C60" s="55"/>
      <c r="D60" s="55"/>
    </row>
    <row r="61" spans="2:5" ht="13.95" hidden="1" customHeight="1" x14ac:dyDescent="0.25">
      <c r="B61" s="495"/>
      <c r="C61" s="55"/>
      <c r="D61" s="55"/>
    </row>
    <row r="62" spans="2:5" ht="13.95" hidden="1" customHeight="1" x14ac:dyDescent="0.25">
      <c r="B62" s="495"/>
      <c r="C62" s="55"/>
      <c r="D62" s="55"/>
    </row>
    <row r="63" spans="2:5" ht="13.95" hidden="1" customHeight="1" x14ac:dyDescent="0.25">
      <c r="B63" s="495"/>
      <c r="C63" s="55"/>
      <c r="D63" s="55"/>
    </row>
    <row r="64" spans="2:5" ht="13.95" hidden="1" customHeight="1" x14ac:dyDescent="0.25">
      <c r="B64" s="495"/>
      <c r="C64" s="55"/>
      <c r="D64" s="55"/>
    </row>
    <row r="65" spans="2:4" ht="13.95" hidden="1" customHeight="1" x14ac:dyDescent="0.25">
      <c r="B65" s="495"/>
      <c r="C65" s="55"/>
      <c r="D65" s="55"/>
    </row>
    <row r="66" spans="2:4" ht="13.95" hidden="1" customHeight="1" x14ac:dyDescent="0.25">
      <c r="B66" s="495"/>
      <c r="C66" s="55"/>
      <c r="D66" s="55"/>
    </row>
    <row r="67" spans="2:4" ht="13.95" hidden="1" customHeight="1" x14ac:dyDescent="0.25">
      <c r="B67" s="495"/>
      <c r="C67" s="55"/>
      <c r="D67" s="55"/>
    </row>
    <row r="68" spans="2:4" ht="13.95" hidden="1" customHeight="1" x14ac:dyDescent="0.25">
      <c r="B68" s="495"/>
      <c r="C68" s="55"/>
      <c r="D68" s="55"/>
    </row>
    <row r="69" spans="2:4" ht="13.95" hidden="1" customHeight="1" x14ac:dyDescent="0.25">
      <c r="B69" s="495"/>
      <c r="C69" s="55"/>
      <c r="D69" s="55"/>
    </row>
    <row r="70" spans="2:4" ht="13.95" hidden="1" customHeight="1" x14ac:dyDescent="0.25">
      <c r="B70" s="495"/>
      <c r="C70" s="55"/>
      <c r="D70" s="55"/>
    </row>
    <row r="71" spans="2:4" ht="13.95" hidden="1" customHeight="1" x14ac:dyDescent="0.25">
      <c r="B71" s="495"/>
      <c r="C71" s="55"/>
      <c r="D71" s="55"/>
    </row>
    <row r="72" spans="2:4" ht="13.95" hidden="1" customHeight="1" x14ac:dyDescent="0.25">
      <c r="B72" s="495"/>
      <c r="C72" s="55"/>
      <c r="D72" s="55"/>
    </row>
    <row r="73" spans="2:4" ht="13.95" hidden="1" customHeight="1" x14ac:dyDescent="0.25">
      <c r="B73" s="495"/>
      <c r="C73" s="55"/>
      <c r="D73" s="55"/>
    </row>
    <row r="74" spans="2:4" ht="13.95" hidden="1" customHeight="1" x14ac:dyDescent="0.25">
      <c r="B74" s="495"/>
      <c r="C74" s="55"/>
      <c r="D74" s="55"/>
    </row>
    <row r="75" spans="2:4" ht="13.95" hidden="1" customHeight="1" x14ac:dyDescent="0.25">
      <c r="B75" s="495"/>
      <c r="C75" s="55"/>
      <c r="D75" s="55"/>
    </row>
    <row r="76" spans="2:4" ht="13.95" hidden="1" customHeight="1" x14ac:dyDescent="0.25">
      <c r="B76" s="495"/>
      <c r="C76" s="55"/>
      <c r="D76" s="55"/>
    </row>
    <row r="77" spans="2:4" ht="13.95" hidden="1" customHeight="1" x14ac:dyDescent="0.25">
      <c r="B77" s="495"/>
      <c r="C77" s="55"/>
      <c r="D77" s="55"/>
    </row>
    <row r="78" spans="2:4" ht="13.95" hidden="1" customHeight="1" x14ac:dyDescent="0.25">
      <c r="B78" s="495"/>
      <c r="C78" s="55"/>
      <c r="D78" s="55"/>
    </row>
    <row r="79" spans="2:4" ht="13.2" hidden="1" customHeight="1" x14ac:dyDescent="0.25">
      <c r="B79" s="769"/>
      <c r="C79" s="775" t="s">
        <v>396</v>
      </c>
      <c r="D79" s="772"/>
    </row>
    <row r="80" spans="2:4" ht="16.95" hidden="1" customHeight="1" thickBot="1" x14ac:dyDescent="0.3">
      <c r="B80" s="770"/>
      <c r="C80" s="776"/>
      <c r="D80" s="774"/>
    </row>
    <row r="81" spans="2:4" ht="13.95" hidden="1" customHeight="1" x14ac:dyDescent="0.25">
      <c r="B81" s="167"/>
      <c r="C81" s="56">
        <v>30781.396799999999</v>
      </c>
      <c r="D81" s="56">
        <v>40015.815840000003</v>
      </c>
    </row>
    <row r="82" spans="2:4" ht="13.95" hidden="1" customHeight="1" x14ac:dyDescent="0.25">
      <c r="B82" s="43"/>
      <c r="C82" s="56">
        <v>29914.315200000001</v>
      </c>
      <c r="D82" s="56">
        <v>38888.609759999999</v>
      </c>
    </row>
    <row r="83" spans="2:4" ht="13.95" hidden="1" customHeight="1" x14ac:dyDescent="0.25">
      <c r="B83" s="43"/>
      <c r="C83" s="56">
        <v>28902.720000000001</v>
      </c>
      <c r="D83" s="56">
        <v>37573.536</v>
      </c>
    </row>
    <row r="84" spans="2:4" ht="13.95" hidden="1" customHeight="1" x14ac:dyDescent="0.25">
      <c r="B84" s="43"/>
      <c r="C84" s="56">
        <v>28758.206399999999</v>
      </c>
      <c r="D84" s="56">
        <v>37385.668319999997</v>
      </c>
    </row>
    <row r="85" spans="2:4" ht="13.95" hidden="1" customHeight="1" x14ac:dyDescent="0.25">
      <c r="B85" s="43"/>
      <c r="C85" s="56">
        <v>28324.6656</v>
      </c>
      <c r="D85" s="56">
        <v>36822.065280000003</v>
      </c>
    </row>
    <row r="86" spans="2:4" ht="13.95" hidden="1" customHeight="1" x14ac:dyDescent="0.25">
      <c r="B86" s="43"/>
      <c r="C86" s="56">
        <v>28035.6384</v>
      </c>
      <c r="D86" s="56">
        <v>36446.329919999996</v>
      </c>
    </row>
    <row r="87" spans="2:4" ht="13.95" hidden="1" customHeight="1" x14ac:dyDescent="0.25">
      <c r="B87" s="43"/>
      <c r="C87" s="56">
        <v>28758.206399999999</v>
      </c>
      <c r="D87" s="56">
        <v>37385.668319999997</v>
      </c>
    </row>
    <row r="88" spans="2:4" ht="13.95" hidden="1" customHeight="1" x14ac:dyDescent="0.25">
      <c r="B88" s="495"/>
      <c r="C88" s="55"/>
      <c r="D88" s="55"/>
    </row>
    <row r="89" spans="2:4" ht="13.2" hidden="1" customHeight="1" x14ac:dyDescent="0.25">
      <c r="B89" s="769"/>
      <c r="C89" s="771" t="s">
        <v>397</v>
      </c>
      <c r="D89" s="772"/>
    </row>
    <row r="90" spans="2:4" ht="21" hidden="1" customHeight="1" thickBot="1" x14ac:dyDescent="0.3">
      <c r="B90" s="770"/>
      <c r="C90" s="773"/>
      <c r="D90" s="774"/>
    </row>
    <row r="91" spans="2:4" ht="13.95" hidden="1" customHeight="1" x14ac:dyDescent="0.25">
      <c r="B91" s="196"/>
      <c r="C91" s="57">
        <v>27457.583999999999</v>
      </c>
      <c r="D91" s="57">
        <v>35694.859199999999</v>
      </c>
    </row>
    <row r="92" spans="2:4" ht="13.95" hidden="1" customHeight="1" x14ac:dyDescent="0.25">
      <c r="B92" s="495"/>
      <c r="C92" s="55"/>
      <c r="D92" s="55"/>
    </row>
    <row r="93" spans="2:4" ht="13.95" hidden="1" customHeight="1" x14ac:dyDescent="0.25">
      <c r="B93" s="768"/>
      <c r="C93" s="768"/>
      <c r="D93" s="768"/>
    </row>
  </sheetData>
  <mergeCells count="18">
    <mergeCell ref="B93:D93"/>
    <mergeCell ref="B89:B90"/>
    <mergeCell ref="C89:D90"/>
    <mergeCell ref="C49:D50"/>
    <mergeCell ref="B49:B50"/>
    <mergeCell ref="B79:B80"/>
    <mergeCell ref="C79:D80"/>
    <mergeCell ref="C54:D55"/>
    <mergeCell ref="B54:B55"/>
    <mergeCell ref="C32:D33"/>
    <mergeCell ref="C37:D38"/>
    <mergeCell ref="B32:B33"/>
    <mergeCell ref="B37:B38"/>
    <mergeCell ref="C1:D1"/>
    <mergeCell ref="C21:D22"/>
    <mergeCell ref="B5:B6"/>
    <mergeCell ref="C5:D6"/>
    <mergeCell ref="B21:B22"/>
  </mergeCells>
  <phoneticPr fontId="26" type="noConversion"/>
  <hyperlinks>
    <hyperlink ref="E1" location="'3'!A1" display="Оглавление"/>
  </hyperlinks>
  <printOptions horizontalCentered="1"/>
  <pageMargins left="0.78740157480314965" right="0.78740157480314965" top="0.70866141732283472" bottom="0.59055118110236227" header="0.31496062992125984" footer="0.35433070866141736"/>
  <pageSetup paperSize="9" scale="95" orientation="portrait" r:id="rId1"/>
  <headerFooter alignWithMargins="0">
    <oddHeader>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7">
    <pageSetUpPr fitToPage="1"/>
  </sheetPr>
  <dimension ref="A1:H641"/>
  <sheetViews>
    <sheetView view="pageBreakPreview" zoomScale="80" zoomScaleNormal="85" zoomScaleSheetLayoutView="100" workbookViewId="0">
      <pane xSplit="8" ySplit="3" topLeftCell="I484" activePane="bottomRight" state="frozen"/>
      <selection pane="topRight" activeCell="I1" sqref="I1"/>
      <selection pane="bottomLeft" activeCell="A4" sqref="A4"/>
      <selection pane="bottomRight" activeCell="A511" sqref="A511:A520"/>
    </sheetView>
  </sheetViews>
  <sheetFormatPr defaultRowHeight="13.2" x14ac:dyDescent="0.25"/>
  <cols>
    <col min="1" max="1" width="15.33203125" bestFit="1" customWidth="1"/>
    <col min="2" max="2" width="9.33203125" customWidth="1"/>
    <col min="3" max="3" width="8.88671875" style="118"/>
    <col min="4" max="4" width="16.44140625" style="118" customWidth="1"/>
    <col min="5" max="5" width="14.88671875" style="118" bestFit="1" customWidth="1"/>
    <col min="6" max="6" width="14.33203125" style="118" customWidth="1"/>
    <col min="7" max="7" width="11" style="118" customWidth="1"/>
    <col min="9" max="9" width="14.6640625" customWidth="1"/>
    <col min="10" max="10" width="4.88671875" customWidth="1"/>
  </cols>
  <sheetData>
    <row r="1" spans="1:8" ht="13.2" customHeight="1" x14ac:dyDescent="0.25">
      <c r="B1" s="115"/>
      <c r="C1" s="115"/>
      <c r="D1" s="115"/>
      <c r="E1" s="116" t="s">
        <v>501</v>
      </c>
      <c r="F1" s="114"/>
      <c r="G1" s="115"/>
    </row>
    <row r="2" spans="1:8" ht="26.4" x14ac:dyDescent="0.25">
      <c r="A2" t="s">
        <v>90</v>
      </c>
      <c r="B2" s="120" t="s">
        <v>580</v>
      </c>
      <c r="C2" s="120" t="s">
        <v>104</v>
      </c>
      <c r="D2" s="120" t="s">
        <v>582</v>
      </c>
      <c r="E2" s="121" t="s">
        <v>120</v>
      </c>
      <c r="F2" s="121" t="s">
        <v>264</v>
      </c>
      <c r="G2" s="120" t="s">
        <v>581</v>
      </c>
      <c r="H2" s="184" t="s">
        <v>0</v>
      </c>
    </row>
    <row r="3" spans="1:8" x14ac:dyDescent="0.25">
      <c r="A3" t="str">
        <f>CONCATENATE(B3," Ф",C3)</f>
        <v>Г2172 Ф1,6</v>
      </c>
      <c r="B3" s="118" t="s">
        <v>537</v>
      </c>
      <c r="C3" s="117">
        <v>1.6</v>
      </c>
      <c r="D3" s="183">
        <v>13.2</v>
      </c>
      <c r="E3" s="119"/>
      <c r="F3" s="119" t="e">
        <f>'11'!#REF!</f>
        <v>#REF!</v>
      </c>
      <c r="G3" s="118" t="s">
        <v>538</v>
      </c>
      <c r="H3" s="185" t="e">
        <f>IF(OR(E3=0,F3=0),0,F3/E3-1)</f>
        <v>#REF!</v>
      </c>
    </row>
    <row r="4" spans="1:8" x14ac:dyDescent="0.25">
      <c r="A4" t="str">
        <f t="shared" ref="A4:A67" si="0">CONCATENATE(B4," Ф",C4)</f>
        <v>Г2172 Ф1,8</v>
      </c>
      <c r="B4" s="118" t="s">
        <v>537</v>
      </c>
      <c r="C4" s="117">
        <v>1.8</v>
      </c>
      <c r="D4" s="183">
        <v>16</v>
      </c>
      <c r="E4" s="119"/>
      <c r="F4" s="119">
        <f>'11'!E7</f>
        <v>3477.9675000000002</v>
      </c>
      <c r="G4" s="118" t="s">
        <v>538</v>
      </c>
      <c r="H4" s="185">
        <f t="shared" ref="H4:H67" si="1">IF(OR(E4=0,F4=0),0,F4/E4-1)</f>
        <v>0</v>
      </c>
    </row>
    <row r="5" spans="1:8" x14ac:dyDescent="0.25">
      <c r="A5" t="str">
        <f t="shared" si="0"/>
        <v>Г2172 Ф2,2</v>
      </c>
      <c r="B5" s="118" t="s">
        <v>537</v>
      </c>
      <c r="C5" s="117">
        <v>2.2000000000000002</v>
      </c>
      <c r="D5" s="183">
        <v>23.7</v>
      </c>
      <c r="E5" s="119"/>
      <c r="F5" s="119">
        <f>'11'!E8</f>
        <v>4126.3320000000003</v>
      </c>
      <c r="G5" s="118" t="s">
        <v>538</v>
      </c>
      <c r="H5" s="185">
        <f t="shared" si="1"/>
        <v>0</v>
      </c>
    </row>
    <row r="6" spans="1:8" x14ac:dyDescent="0.25">
      <c r="A6" t="str">
        <f t="shared" si="0"/>
        <v>Г2172 Ф2,4</v>
      </c>
      <c r="B6" s="118" t="s">
        <v>537</v>
      </c>
      <c r="C6" s="117">
        <v>2.4</v>
      </c>
      <c r="D6" s="183">
        <v>29.4</v>
      </c>
      <c r="E6" s="119"/>
      <c r="F6" s="119">
        <f>'11'!E9</f>
        <v>4748.688000000001</v>
      </c>
      <c r="G6" s="118" t="s">
        <v>538</v>
      </c>
      <c r="H6" s="185">
        <f t="shared" si="1"/>
        <v>0</v>
      </c>
    </row>
    <row r="7" spans="1:8" x14ac:dyDescent="0.25">
      <c r="A7" t="str">
        <f t="shared" si="0"/>
        <v>Г2172 Ф2,5</v>
      </c>
      <c r="B7" s="118" t="s">
        <v>537</v>
      </c>
      <c r="C7" s="117">
        <v>2.5</v>
      </c>
      <c r="D7" s="183">
        <v>31.4</v>
      </c>
      <c r="E7" s="119"/>
      <c r="F7" s="119">
        <f>'11'!E10</f>
        <v>5012.826</v>
      </c>
      <c r="G7" s="118" t="s">
        <v>538</v>
      </c>
      <c r="H7" s="185">
        <f t="shared" si="1"/>
        <v>0</v>
      </c>
    </row>
    <row r="8" spans="1:8" x14ac:dyDescent="0.25">
      <c r="A8" t="str">
        <f t="shared" si="0"/>
        <v>Г2172 Ф3,2</v>
      </c>
      <c r="B8" s="118" t="s">
        <v>537</v>
      </c>
      <c r="C8" s="117">
        <v>3.2</v>
      </c>
      <c r="D8" s="183">
        <v>54</v>
      </c>
      <c r="E8" s="119"/>
      <c r="F8" s="119">
        <f>'11'!E12</f>
        <v>10738.518</v>
      </c>
      <c r="G8" s="118" t="s">
        <v>538</v>
      </c>
      <c r="H8" s="185">
        <f t="shared" si="1"/>
        <v>0</v>
      </c>
    </row>
    <row r="9" spans="1:8" x14ac:dyDescent="0.25">
      <c r="A9" t="str">
        <f t="shared" si="0"/>
        <v>Г2172 Ф3,6</v>
      </c>
      <c r="B9" s="118" t="s">
        <v>537</v>
      </c>
      <c r="C9" s="117">
        <v>3.6</v>
      </c>
      <c r="D9" s="183">
        <v>64.099999999999994</v>
      </c>
      <c r="E9" s="119"/>
      <c r="F9" s="119">
        <f>'11'!E13</f>
        <v>11418.014999999999</v>
      </c>
      <c r="G9" s="118" t="s">
        <v>538</v>
      </c>
      <c r="H9" s="185">
        <f t="shared" si="1"/>
        <v>0</v>
      </c>
    </row>
    <row r="10" spans="1:8" x14ac:dyDescent="0.25">
      <c r="A10" t="str">
        <f t="shared" si="0"/>
        <v>Г2172 Ф4</v>
      </c>
      <c r="B10" s="118" t="s">
        <v>537</v>
      </c>
      <c r="C10" s="117">
        <v>4</v>
      </c>
      <c r="D10" s="183">
        <v>81.2</v>
      </c>
      <c r="E10" s="119"/>
      <c r="F10" s="119">
        <f>'11'!E14</f>
        <v>14400.130500000001</v>
      </c>
      <c r="G10" s="118" t="s">
        <v>538</v>
      </c>
      <c r="H10" s="185">
        <f t="shared" si="1"/>
        <v>0</v>
      </c>
    </row>
    <row r="11" spans="1:8" x14ac:dyDescent="0.25">
      <c r="A11" t="str">
        <f t="shared" si="0"/>
        <v>Г2172 Ф4,5</v>
      </c>
      <c r="B11" s="118" t="s">
        <v>537</v>
      </c>
      <c r="C11" s="117">
        <v>4.5</v>
      </c>
      <c r="D11" s="183">
        <v>97.8</v>
      </c>
      <c r="E11" s="119"/>
      <c r="F11" s="119">
        <f>'11'!E15</f>
        <v>16167.133500000002</v>
      </c>
      <c r="G11" s="118" t="s">
        <v>538</v>
      </c>
      <c r="H11" s="185">
        <f t="shared" si="1"/>
        <v>0</v>
      </c>
    </row>
    <row r="12" spans="1:8" x14ac:dyDescent="0.25">
      <c r="A12" t="str">
        <f t="shared" si="0"/>
        <v>Г2172 Ф5</v>
      </c>
      <c r="B12" s="118" t="s">
        <v>537</v>
      </c>
      <c r="C12" s="117">
        <v>5</v>
      </c>
      <c r="D12" s="183">
        <v>129.30000000000001</v>
      </c>
      <c r="E12" s="119"/>
      <c r="F12" s="119">
        <f>'11'!E16</f>
        <v>18186.293999999998</v>
      </c>
      <c r="G12" s="118" t="s">
        <v>538</v>
      </c>
      <c r="H12" s="185">
        <f t="shared" si="1"/>
        <v>0</v>
      </c>
    </row>
    <row r="13" spans="1:8" x14ac:dyDescent="0.25">
      <c r="A13" t="str">
        <f t="shared" si="0"/>
        <v>Г2172 Ф5,6</v>
      </c>
      <c r="B13" s="118" t="s">
        <v>537</v>
      </c>
      <c r="C13" s="117">
        <v>5.6</v>
      </c>
      <c r="D13" s="183">
        <v>159.6</v>
      </c>
      <c r="E13" s="119"/>
      <c r="F13" s="119">
        <f>'11'!E17</f>
        <v>21368.518500000002</v>
      </c>
      <c r="G13" s="118" t="s">
        <v>538</v>
      </c>
      <c r="H13" s="185">
        <f t="shared" si="1"/>
        <v>0</v>
      </c>
    </row>
    <row r="14" spans="1:8" x14ac:dyDescent="0.25">
      <c r="A14" t="str">
        <f t="shared" si="0"/>
        <v>Г2172 Ф6</v>
      </c>
      <c r="B14" s="118" t="s">
        <v>537</v>
      </c>
      <c r="C14" s="117">
        <v>6</v>
      </c>
      <c r="D14" s="183">
        <v>175.5</v>
      </c>
      <c r="E14" s="119"/>
      <c r="F14" s="119">
        <f>'11'!E18</f>
        <v>21477.141</v>
      </c>
      <c r="G14" s="118" t="s">
        <v>538</v>
      </c>
      <c r="H14" s="185">
        <f t="shared" si="1"/>
        <v>0</v>
      </c>
    </row>
    <row r="15" spans="1:8" x14ac:dyDescent="0.25">
      <c r="A15" t="str">
        <f t="shared" si="0"/>
        <v>Г2172 Ф7,5</v>
      </c>
      <c r="B15" s="118" t="s">
        <v>537</v>
      </c>
      <c r="C15" s="117">
        <v>7.5</v>
      </c>
      <c r="D15" s="183">
        <v>277</v>
      </c>
      <c r="E15" s="119"/>
      <c r="F15" s="119" t="e">
        <f>'11'!#REF!</f>
        <v>#REF!</v>
      </c>
      <c r="G15" s="118" t="s">
        <v>538</v>
      </c>
      <c r="H15" s="185" t="e">
        <f t="shared" si="1"/>
        <v>#REF!</v>
      </c>
    </row>
    <row r="16" spans="1:8" x14ac:dyDescent="0.25">
      <c r="A16" t="str">
        <f t="shared" si="0"/>
        <v>Г2688 Ф3,6</v>
      </c>
      <c r="B16" s="118" t="s">
        <v>539</v>
      </c>
      <c r="C16" s="117">
        <v>3.6</v>
      </c>
      <c r="D16" s="183">
        <v>48.8</v>
      </c>
      <c r="E16" s="119">
        <f>'11'!D26</f>
        <v>8453.9490000000005</v>
      </c>
      <c r="F16" s="119">
        <f>'11'!E26</f>
        <v>11098.32</v>
      </c>
      <c r="G16" s="118" t="s">
        <v>540</v>
      </c>
      <c r="H16" s="185">
        <f t="shared" si="1"/>
        <v>0.31279713184926927</v>
      </c>
    </row>
    <row r="17" spans="1:8" x14ac:dyDescent="0.25">
      <c r="A17" t="str">
        <f t="shared" si="0"/>
        <v>Г2688 Ф3,8</v>
      </c>
      <c r="B17" s="118" t="s">
        <v>539</v>
      </c>
      <c r="C17" s="117">
        <v>3.8</v>
      </c>
      <c r="D17" s="183">
        <v>55.1</v>
      </c>
      <c r="E17" s="119">
        <f>'11'!D27</f>
        <v>8672.6324999999997</v>
      </c>
      <c r="F17" s="119">
        <f>'11'!E27</f>
        <v>11413.286399999999</v>
      </c>
      <c r="G17" s="118" t="s">
        <v>540</v>
      </c>
      <c r="H17" s="185">
        <f t="shared" si="1"/>
        <v>0.3160117645939684</v>
      </c>
    </row>
    <row r="18" spans="1:8" x14ac:dyDescent="0.25">
      <c r="A18" t="str">
        <f t="shared" si="0"/>
        <v>Г2688 Ф4,1</v>
      </c>
      <c r="B18" s="118" t="s">
        <v>539</v>
      </c>
      <c r="C18" s="117">
        <v>4.0999999999999996</v>
      </c>
      <c r="D18" s="183">
        <v>64.099999999999994</v>
      </c>
      <c r="E18" s="119">
        <f>'11'!D28</f>
        <v>9636.1440000000002</v>
      </c>
      <c r="F18" s="119">
        <f>'11'!E28</f>
        <v>12483.263999999999</v>
      </c>
      <c r="G18" s="118" t="s">
        <v>540</v>
      </c>
      <c r="H18" s="185">
        <f t="shared" si="1"/>
        <v>0.29546258337359821</v>
      </c>
    </row>
    <row r="19" spans="1:8" x14ac:dyDescent="0.25">
      <c r="A19" t="str">
        <f t="shared" si="0"/>
        <v>Г2688 Ф4,5</v>
      </c>
      <c r="B19" s="118" t="s">
        <v>539</v>
      </c>
      <c r="C19" s="117">
        <v>4.5</v>
      </c>
      <c r="D19" s="183">
        <v>73.900000000000006</v>
      </c>
      <c r="E19" s="119">
        <f>'11'!D29</f>
        <v>9821.563500000002</v>
      </c>
      <c r="F19" s="119">
        <f>'11'!E29</f>
        <v>12924.422399999999</v>
      </c>
      <c r="G19" s="118" t="s">
        <v>540</v>
      </c>
      <c r="H19" s="185">
        <f t="shared" si="1"/>
        <v>0.31592311142721785</v>
      </c>
    </row>
    <row r="20" spans="1:8" x14ac:dyDescent="0.25">
      <c r="A20" t="str">
        <f t="shared" si="0"/>
        <v>Г2688 Ф4,8</v>
      </c>
      <c r="B20" s="118" t="s">
        <v>539</v>
      </c>
      <c r="C20" s="117">
        <v>4.8</v>
      </c>
      <c r="D20" s="183">
        <v>84.4</v>
      </c>
      <c r="E20" s="119">
        <f>'11'!D30</f>
        <v>10363.237500000001</v>
      </c>
      <c r="F20" s="119">
        <f>'11'!E30</f>
        <v>13849.180799999998</v>
      </c>
      <c r="G20" s="118" t="s">
        <v>540</v>
      </c>
      <c r="H20" s="185">
        <f t="shared" si="1"/>
        <v>0.33637589604599882</v>
      </c>
    </row>
    <row r="21" spans="1:8" x14ac:dyDescent="0.25">
      <c r="A21" t="str">
        <f t="shared" si="0"/>
        <v>Г2688 Ф5,1</v>
      </c>
      <c r="B21" s="118" t="s">
        <v>539</v>
      </c>
      <c r="C21" s="117">
        <v>5.0999999999999996</v>
      </c>
      <c r="D21" s="183">
        <v>95.5</v>
      </c>
      <c r="E21" s="119">
        <f>'11'!D31</f>
        <v>10887.8595</v>
      </c>
      <c r="F21" s="119">
        <f>'11'!E31</f>
        <v>14552.774399999998</v>
      </c>
      <c r="G21" s="118" t="s">
        <v>540</v>
      </c>
      <c r="H21" s="185">
        <f t="shared" si="1"/>
        <v>0.33660563860141646</v>
      </c>
    </row>
    <row r="22" spans="1:8" x14ac:dyDescent="0.25">
      <c r="A22" t="str">
        <f t="shared" si="0"/>
        <v>Г2688 Ф5,6</v>
      </c>
      <c r="B22" s="118" t="s">
        <v>539</v>
      </c>
      <c r="C22" s="117">
        <v>5.6</v>
      </c>
      <c r="D22" s="183">
        <v>116.5</v>
      </c>
      <c r="E22" s="119">
        <f>'11'!D32</f>
        <v>11466.651000000002</v>
      </c>
      <c r="F22" s="119">
        <f>'11'!E32</f>
        <v>15274.56</v>
      </c>
      <c r="G22" s="118" t="s">
        <v>540</v>
      </c>
      <c r="H22" s="185">
        <f t="shared" si="1"/>
        <v>0.3320855409308261</v>
      </c>
    </row>
    <row r="23" spans="1:8" x14ac:dyDescent="0.25">
      <c r="A23" t="str">
        <f t="shared" si="0"/>
        <v>Г2688 Ф6,2</v>
      </c>
      <c r="B23" s="118" t="s">
        <v>539</v>
      </c>
      <c r="C23" s="117">
        <v>6.2</v>
      </c>
      <c r="D23" s="183">
        <v>141.6</v>
      </c>
      <c r="E23" s="119">
        <f>'11'!D33</f>
        <v>12997.866</v>
      </c>
      <c r="F23" s="119">
        <f>'11'!E33</f>
        <v>17279.452799999999</v>
      </c>
      <c r="G23" s="118" t="s">
        <v>540</v>
      </c>
      <c r="H23" s="185">
        <f t="shared" si="1"/>
        <v>0.32940690417950136</v>
      </c>
    </row>
    <row r="24" spans="1:8" x14ac:dyDescent="0.25">
      <c r="A24" t="str">
        <f t="shared" si="0"/>
        <v>Г2688 Ф6,9</v>
      </c>
      <c r="B24" s="118" t="s">
        <v>539</v>
      </c>
      <c r="C24" s="117">
        <v>6.9</v>
      </c>
      <c r="D24" s="183">
        <v>176.6</v>
      </c>
      <c r="E24" s="119">
        <f>'11'!D34</f>
        <v>14943.495000000001</v>
      </c>
      <c r="F24" s="119">
        <f>'11'!E34</f>
        <v>19362.988799999999</v>
      </c>
      <c r="G24" s="118" t="s">
        <v>540</v>
      </c>
      <c r="H24" s="185">
        <f t="shared" si="1"/>
        <v>0.29574699894502587</v>
      </c>
    </row>
    <row r="25" spans="1:8" x14ac:dyDescent="0.25">
      <c r="A25" t="str">
        <f t="shared" si="0"/>
        <v>Г2688 Ф7,6</v>
      </c>
      <c r="B25" s="118" t="s">
        <v>539</v>
      </c>
      <c r="C25" s="117">
        <v>7.6</v>
      </c>
      <c r="D25" s="183">
        <v>211</v>
      </c>
      <c r="E25" s="119">
        <f>'11'!D35</f>
        <v>16870.182000000001</v>
      </c>
      <c r="F25" s="119">
        <f>'11'!E35</f>
        <v>21857.923199999997</v>
      </c>
      <c r="G25" s="118" t="s">
        <v>540</v>
      </c>
      <c r="H25" s="185">
        <f t="shared" si="1"/>
        <v>0.29565426146558438</v>
      </c>
    </row>
    <row r="26" spans="1:8" x14ac:dyDescent="0.25">
      <c r="A26" t="str">
        <f t="shared" si="0"/>
        <v>Г2688 Ф8,3</v>
      </c>
      <c r="B26" s="118" t="s">
        <v>539</v>
      </c>
      <c r="C26" s="117">
        <v>8.3000000000000007</v>
      </c>
      <c r="D26" s="183">
        <v>256</v>
      </c>
      <c r="E26" s="119">
        <f>'11'!D36</f>
        <v>19257.283500000001</v>
      </c>
      <c r="F26" s="119">
        <f>'11'!E36</f>
        <v>24931.353599999999</v>
      </c>
      <c r="G26" s="118" t="s">
        <v>540</v>
      </c>
      <c r="H26" s="185">
        <f t="shared" si="1"/>
        <v>0.29464540520473714</v>
      </c>
    </row>
    <row r="27" spans="1:8" x14ac:dyDescent="0.25">
      <c r="A27" t="str">
        <f t="shared" si="0"/>
        <v>Г2688 Ф9,1</v>
      </c>
      <c r="B27" s="118" t="s">
        <v>539</v>
      </c>
      <c r="C27" s="117">
        <v>9.1</v>
      </c>
      <c r="D27" s="183">
        <v>305</v>
      </c>
      <c r="E27" s="119">
        <f>'11'!D37</f>
        <v>21644.374499999998</v>
      </c>
      <c r="F27" s="119">
        <f>'11'!E37</f>
        <v>28042.358400000001</v>
      </c>
      <c r="G27" s="118" t="s">
        <v>540</v>
      </c>
      <c r="H27" s="185">
        <f t="shared" si="1"/>
        <v>0.29559569392961693</v>
      </c>
    </row>
    <row r="28" spans="1:8" x14ac:dyDescent="0.25">
      <c r="A28" t="str">
        <f t="shared" si="0"/>
        <v>Г2688 Ф9,6</v>
      </c>
      <c r="B28" s="118" t="s">
        <v>539</v>
      </c>
      <c r="C28" s="117">
        <v>9.6</v>
      </c>
      <c r="D28" s="183">
        <v>358.6</v>
      </c>
      <c r="E28" s="119">
        <f>'11'!D38</f>
        <v>23736.404999999999</v>
      </c>
      <c r="F28" s="119">
        <f>'11'!E38</f>
        <v>30731.875199999999</v>
      </c>
      <c r="G28" s="118" t="s">
        <v>540</v>
      </c>
      <c r="H28" s="185">
        <f t="shared" si="1"/>
        <v>0.2947148146486378</v>
      </c>
    </row>
    <row r="29" spans="1:8" x14ac:dyDescent="0.25">
      <c r="A29" t="str">
        <f t="shared" si="0"/>
        <v>Г2688 Ф11</v>
      </c>
      <c r="B29" s="118" t="s">
        <v>539</v>
      </c>
      <c r="C29" s="117">
        <v>11</v>
      </c>
      <c r="D29" s="183">
        <v>461.6</v>
      </c>
      <c r="E29" s="119">
        <f>'11'!D39</f>
        <v>29022.7245</v>
      </c>
      <c r="F29" s="119">
        <f>'11'!E39</f>
        <v>37599.1584</v>
      </c>
      <c r="G29" s="118" t="s">
        <v>540</v>
      </c>
      <c r="H29" s="185">
        <f t="shared" si="1"/>
        <v>0.29550753927323403</v>
      </c>
    </row>
    <row r="30" spans="1:8" x14ac:dyDescent="0.25">
      <c r="A30" t="str">
        <f t="shared" si="0"/>
        <v>Г2688 Ф12</v>
      </c>
      <c r="B30" s="118" t="s">
        <v>539</v>
      </c>
      <c r="C30" s="117">
        <v>12</v>
      </c>
      <c r="D30" s="183">
        <v>527</v>
      </c>
      <c r="E30" s="119">
        <f>'11'!D40</f>
        <v>32827.567499999997</v>
      </c>
      <c r="F30" s="119">
        <f>'11'!E40</f>
        <v>42530.505599999997</v>
      </c>
      <c r="G30" s="118" t="s">
        <v>540</v>
      </c>
      <c r="H30" s="185">
        <f t="shared" si="1"/>
        <v>0.29557286265575411</v>
      </c>
    </row>
    <row r="31" spans="1:8" x14ac:dyDescent="0.25">
      <c r="A31" t="str">
        <f t="shared" si="0"/>
        <v>Г2688 Ф13</v>
      </c>
      <c r="B31" s="118" t="s">
        <v>539</v>
      </c>
      <c r="C31" s="117">
        <v>13</v>
      </c>
      <c r="D31" s="183">
        <v>596.6</v>
      </c>
      <c r="E31" s="119">
        <f>'11'!D41</f>
        <v>35623.150499999996</v>
      </c>
      <c r="F31" s="119">
        <f>'11'!E41</f>
        <v>46118.534399999997</v>
      </c>
      <c r="G31" s="118" t="s">
        <v>540</v>
      </c>
      <c r="H31" s="185">
        <f t="shared" si="1"/>
        <v>0.29462256293137234</v>
      </c>
    </row>
    <row r="32" spans="1:8" x14ac:dyDescent="0.25">
      <c r="A32" t="str">
        <f t="shared" si="0"/>
        <v>Г2688 Ф14</v>
      </c>
      <c r="B32" s="118" t="s">
        <v>539</v>
      </c>
      <c r="C32" s="117">
        <v>14</v>
      </c>
      <c r="D32" s="183">
        <v>728</v>
      </c>
      <c r="E32" s="119">
        <f>'11'!D42</f>
        <v>42111.678</v>
      </c>
      <c r="F32" s="119">
        <f>'11'!E42</f>
        <v>54539.395199999999</v>
      </c>
      <c r="G32" s="118" t="s">
        <v>540</v>
      </c>
      <c r="H32" s="185">
        <f t="shared" si="1"/>
        <v>0.29511332224757236</v>
      </c>
    </row>
    <row r="33" spans="1:8" x14ac:dyDescent="0.25">
      <c r="A33" t="str">
        <f t="shared" si="0"/>
        <v>Г2688 Ф15</v>
      </c>
      <c r="B33" s="118" t="s">
        <v>539</v>
      </c>
      <c r="C33" s="117">
        <v>15</v>
      </c>
      <c r="D33" s="183">
        <v>844</v>
      </c>
      <c r="E33" s="119">
        <f>'11'!D43</f>
        <v>47981.524500000007</v>
      </c>
      <c r="F33" s="119">
        <f>'11'!E43</f>
        <v>62120.399999999994</v>
      </c>
      <c r="G33" s="118" t="s">
        <v>540</v>
      </c>
      <c r="H33" s="185">
        <f t="shared" si="1"/>
        <v>0.29467332785559952</v>
      </c>
    </row>
    <row r="34" spans="1:8" x14ac:dyDescent="0.25">
      <c r="A34" t="str">
        <f t="shared" si="0"/>
        <v>Г2688 Ф16,5</v>
      </c>
      <c r="B34" s="118" t="s">
        <v>539</v>
      </c>
      <c r="C34" s="117">
        <v>16.5</v>
      </c>
      <c r="D34" s="183">
        <v>1025</v>
      </c>
      <c r="E34" s="119">
        <f>'11'!D44</f>
        <v>56749.118999999999</v>
      </c>
      <c r="F34" s="119">
        <f>'11'!E44</f>
        <v>73530.816000000006</v>
      </c>
      <c r="G34" s="118" t="s">
        <v>540</v>
      </c>
      <c r="H34" s="185">
        <f t="shared" si="1"/>
        <v>0.29571731325027284</v>
      </c>
    </row>
    <row r="35" spans="1:8" x14ac:dyDescent="0.25">
      <c r="A35" t="str">
        <f t="shared" si="0"/>
        <v>Г2688 Ф18</v>
      </c>
      <c r="B35" s="118" t="s">
        <v>539</v>
      </c>
      <c r="C35" s="117">
        <v>18</v>
      </c>
      <c r="D35" s="183">
        <v>1220</v>
      </c>
      <c r="E35" s="119">
        <f>'11'!D45</f>
        <v>67055.351999999999</v>
      </c>
      <c r="F35" s="119">
        <f>'11'!E45</f>
        <v>86818.262399999992</v>
      </c>
      <c r="G35" s="118" t="s">
        <v>540</v>
      </c>
      <c r="H35" s="185">
        <f t="shared" si="1"/>
        <v>0.29472532483313185</v>
      </c>
    </row>
    <row r="36" spans="1:8" x14ac:dyDescent="0.25">
      <c r="A36" t="str">
        <f t="shared" si="0"/>
        <v>Г2688 Ф19,5</v>
      </c>
      <c r="B36" s="118" t="s">
        <v>539</v>
      </c>
      <c r="C36" s="117">
        <v>19.5</v>
      </c>
      <c r="D36" s="183">
        <v>1405</v>
      </c>
      <c r="E36" s="119">
        <f>'11'!D46</f>
        <v>76037.304000000004</v>
      </c>
      <c r="F36" s="119">
        <f>'11'!E46</f>
        <v>98473.583999999988</v>
      </c>
      <c r="G36" s="118" t="s">
        <v>540</v>
      </c>
      <c r="H36" s="185">
        <f t="shared" si="1"/>
        <v>0.29506937805159406</v>
      </c>
    </row>
    <row r="37" spans="1:8" x14ac:dyDescent="0.25">
      <c r="A37" t="str">
        <f t="shared" si="0"/>
        <v>Г2688 Ф21</v>
      </c>
      <c r="B37" s="118" t="s">
        <v>539</v>
      </c>
      <c r="C37" s="117">
        <v>21</v>
      </c>
      <c r="D37" s="183">
        <v>1635</v>
      </c>
      <c r="E37" s="119">
        <f>'11'!D47</f>
        <v>86890.912500000006</v>
      </c>
      <c r="F37" s="119">
        <f>'11'!E47</f>
        <v>112588.69439999999</v>
      </c>
      <c r="G37" s="118" t="s">
        <v>540</v>
      </c>
      <c r="H37" s="185">
        <f t="shared" si="1"/>
        <v>0.2957476352892483</v>
      </c>
    </row>
    <row r="38" spans="1:8" x14ac:dyDescent="0.25">
      <c r="A38" t="str">
        <f t="shared" si="0"/>
        <v>Г2688 Ф22,5</v>
      </c>
      <c r="B38" s="118" t="s">
        <v>539</v>
      </c>
      <c r="C38" s="117">
        <v>22.5</v>
      </c>
      <c r="D38" s="183">
        <v>1850</v>
      </c>
      <c r="E38" s="119">
        <f>'11'!D48</f>
        <v>97830.085500000001</v>
      </c>
      <c r="F38" s="119">
        <f>'11'!E48</f>
        <v>126748.3584</v>
      </c>
      <c r="G38" s="118" t="s">
        <v>540</v>
      </c>
      <c r="H38" s="185">
        <f t="shared" si="1"/>
        <v>0.29559692963776452</v>
      </c>
    </row>
    <row r="39" spans="1:8" x14ac:dyDescent="0.25">
      <c r="A39" t="str">
        <f t="shared" si="0"/>
        <v>Г2688 Ф24</v>
      </c>
      <c r="B39" s="118" t="s">
        <v>539</v>
      </c>
      <c r="C39" s="117">
        <v>24</v>
      </c>
      <c r="D39" s="183">
        <v>2110</v>
      </c>
      <c r="E39" s="119">
        <f>'11'!D49</f>
        <v>110364.0405</v>
      </c>
      <c r="F39" s="119">
        <f>'11'!E49</f>
        <v>142927.67039999997</v>
      </c>
      <c r="G39" s="118" t="s">
        <v>540</v>
      </c>
      <c r="H39" s="185">
        <f t="shared" si="1"/>
        <v>0.29505652160315732</v>
      </c>
    </row>
    <row r="40" spans="1:8" x14ac:dyDescent="0.25">
      <c r="A40" t="str">
        <f t="shared" si="0"/>
        <v>Г2688 Ф25,5</v>
      </c>
      <c r="B40" s="118" t="s">
        <v>539</v>
      </c>
      <c r="C40" s="117">
        <v>25.5</v>
      </c>
      <c r="D40" s="183">
        <v>2390</v>
      </c>
      <c r="E40" s="119">
        <f>'11'!D50</f>
        <v>123621.91800000001</v>
      </c>
      <c r="F40" s="119">
        <f>'11'!E50</f>
        <v>160107.5232</v>
      </c>
      <c r="G40" s="118" t="s">
        <v>540</v>
      </c>
      <c r="H40" s="185">
        <f t="shared" si="1"/>
        <v>0.29513864361819708</v>
      </c>
    </row>
    <row r="41" spans="1:8" x14ac:dyDescent="0.25">
      <c r="A41" t="str">
        <f t="shared" si="0"/>
        <v>Г2688 Ф27</v>
      </c>
      <c r="B41" s="118" t="s">
        <v>539</v>
      </c>
      <c r="C41" s="117">
        <v>27</v>
      </c>
      <c r="D41" s="183">
        <v>2685</v>
      </c>
      <c r="E41" s="119">
        <f>'11'!D51</f>
        <v>137468.61450000003</v>
      </c>
      <c r="F41" s="119">
        <f>'11'!E51</f>
        <v>178061.9424</v>
      </c>
      <c r="G41" s="118" t="s">
        <v>540</v>
      </c>
      <c r="H41" s="185">
        <f t="shared" si="1"/>
        <v>0.29529160563409884</v>
      </c>
    </row>
    <row r="42" spans="1:8" x14ac:dyDescent="0.25">
      <c r="A42" t="str">
        <f t="shared" si="0"/>
        <v>Г2688 Ф28</v>
      </c>
      <c r="B42" s="118" t="s">
        <v>539</v>
      </c>
      <c r="C42" s="117">
        <v>28</v>
      </c>
      <c r="D42" s="183">
        <v>2910</v>
      </c>
      <c r="E42" s="119">
        <f>'11'!D52</f>
        <v>148187.77049999998</v>
      </c>
      <c r="F42" s="119">
        <f>'11'!E52</f>
        <v>192009.1488</v>
      </c>
      <c r="G42" s="118" t="s">
        <v>540</v>
      </c>
      <c r="H42" s="185">
        <f t="shared" si="1"/>
        <v>0.29571521423220282</v>
      </c>
    </row>
    <row r="43" spans="1:8" x14ac:dyDescent="0.25">
      <c r="A43" t="str">
        <f t="shared" si="0"/>
        <v>Г2688 Ф30,5</v>
      </c>
      <c r="B43" s="118" t="s">
        <v>539</v>
      </c>
      <c r="C43" s="117">
        <v>30.5</v>
      </c>
      <c r="D43" s="183">
        <v>3490</v>
      </c>
      <c r="E43" s="119">
        <f>'11'!D53</f>
        <v>176807.20050000001</v>
      </c>
      <c r="F43" s="119">
        <f>'11'!E53</f>
        <v>229053.53279999999</v>
      </c>
      <c r="G43" s="118" t="s">
        <v>540</v>
      </c>
      <c r="H43" s="185">
        <f t="shared" si="1"/>
        <v>0.29549889457132128</v>
      </c>
    </row>
    <row r="44" spans="1:8" x14ac:dyDescent="0.25">
      <c r="A44" t="str">
        <f t="shared" si="0"/>
        <v>Г2688 Ф32</v>
      </c>
      <c r="B44" s="118" t="s">
        <v>539</v>
      </c>
      <c r="C44" s="117">
        <v>32</v>
      </c>
      <c r="D44" s="183">
        <v>3845</v>
      </c>
      <c r="E44" s="119">
        <f>'11'!D54</f>
        <v>192705.49200000003</v>
      </c>
      <c r="F44" s="119">
        <f>'11'!E54</f>
        <v>249578.39039999997</v>
      </c>
      <c r="G44" s="118" t="s">
        <v>540</v>
      </c>
      <c r="H44" s="185">
        <f t="shared" si="1"/>
        <v>0.29512858097474437</v>
      </c>
    </row>
    <row r="45" spans="1:8" x14ac:dyDescent="0.25">
      <c r="A45" t="str">
        <f t="shared" si="0"/>
        <v>Г2688 Ф33,5</v>
      </c>
      <c r="B45" s="118" t="s">
        <v>539</v>
      </c>
      <c r="C45" s="117">
        <v>33.5</v>
      </c>
      <c r="D45" s="183">
        <v>4220</v>
      </c>
      <c r="E45" s="119">
        <f>'11'!D55</f>
        <v>210305.25600000002</v>
      </c>
      <c r="F45" s="119">
        <f>'11'!E55</f>
        <v>272348.21759999997</v>
      </c>
      <c r="G45" s="118" t="s">
        <v>540</v>
      </c>
      <c r="H45" s="185">
        <f t="shared" si="1"/>
        <v>0.29501384216474325</v>
      </c>
    </row>
    <row r="46" spans="1:8" x14ac:dyDescent="0.25">
      <c r="A46" t="str">
        <f t="shared" si="0"/>
        <v>Г2688 Ф37</v>
      </c>
      <c r="B46" s="118" t="s">
        <v>539</v>
      </c>
      <c r="C46" s="117">
        <v>37</v>
      </c>
      <c r="D46" s="183">
        <v>5015</v>
      </c>
      <c r="E46" s="119">
        <f>'11'!D56</f>
        <v>249901.58550000002</v>
      </c>
      <c r="F46" s="119">
        <f>'11'!E56</f>
        <v>323642.37119999994</v>
      </c>
      <c r="G46" s="118" t="s">
        <v>540</v>
      </c>
      <c r="H46" s="185">
        <f t="shared" si="1"/>
        <v>0.29507930312831054</v>
      </c>
    </row>
    <row r="47" spans="1:8" x14ac:dyDescent="0.25">
      <c r="A47" t="str">
        <f t="shared" si="0"/>
        <v>Г2688 Ф39,5</v>
      </c>
      <c r="B47" s="118" t="s">
        <v>539</v>
      </c>
      <c r="C47" s="117">
        <v>39.5</v>
      </c>
      <c r="D47" s="183">
        <v>5740</v>
      </c>
      <c r="E47" s="119">
        <f>'11'!D57</f>
        <v>292301.57250000001</v>
      </c>
      <c r="F47" s="119">
        <f>'11'!E57</f>
        <v>378482.29440000001</v>
      </c>
      <c r="G47" s="118" t="s">
        <v>540</v>
      </c>
      <c r="H47" s="185">
        <f t="shared" si="1"/>
        <v>0.29483495816636429</v>
      </c>
    </row>
    <row r="48" spans="1:8" x14ac:dyDescent="0.25">
      <c r="A48" t="str">
        <f t="shared" si="0"/>
        <v>Г2688 Ф42</v>
      </c>
      <c r="B48" s="118" t="s">
        <v>539</v>
      </c>
      <c r="C48" s="117">
        <v>42</v>
      </c>
      <c r="D48" s="183">
        <v>6535</v>
      </c>
      <c r="E48" s="119">
        <f>'11'!D58</f>
        <v>322554.58200000005</v>
      </c>
      <c r="F48" s="119">
        <f>'11'!E58</f>
        <v>417783.9264</v>
      </c>
      <c r="G48" s="118" t="s">
        <v>540</v>
      </c>
      <c r="H48" s="185">
        <f t="shared" si="1"/>
        <v>0.29523482137358048</v>
      </c>
    </row>
    <row r="49" spans="1:8" x14ac:dyDescent="0.25">
      <c r="A49" t="str">
        <f t="shared" si="0"/>
        <v>Г2688 Ф44,5</v>
      </c>
      <c r="B49" s="118" t="s">
        <v>539</v>
      </c>
      <c r="C49" s="117">
        <v>44.5</v>
      </c>
      <c r="D49" s="183">
        <v>7385</v>
      </c>
      <c r="E49" s="119">
        <f>'11'!D59</f>
        <v>355561.02750000003</v>
      </c>
      <c r="F49" s="119">
        <f>'11'!E59</f>
        <v>460592.19839999994</v>
      </c>
      <c r="G49" s="118" t="s">
        <v>540</v>
      </c>
      <c r="H49" s="185">
        <f t="shared" si="1"/>
        <v>0.29539562206378167</v>
      </c>
    </row>
    <row r="50" spans="1:8" x14ac:dyDescent="0.25">
      <c r="A50" t="str">
        <f t="shared" si="0"/>
        <v>Г2688 Ф47,5</v>
      </c>
      <c r="B50" s="118" t="s">
        <v>539</v>
      </c>
      <c r="C50" s="117">
        <v>47.5</v>
      </c>
      <c r="D50" s="183">
        <v>8430</v>
      </c>
      <c r="E50" s="119">
        <f>'11'!D60</f>
        <v>392987.45850000001</v>
      </c>
      <c r="F50" s="119">
        <f>'11'!E60</f>
        <v>509189.43359999999</v>
      </c>
      <c r="G50" s="118" t="s">
        <v>540</v>
      </c>
      <c r="H50" s="185">
        <f t="shared" si="1"/>
        <v>0.29568876203717309</v>
      </c>
    </row>
    <row r="51" spans="1:8" x14ac:dyDescent="0.25">
      <c r="A51" t="str">
        <f t="shared" si="0"/>
        <v>Г2688 Ф51</v>
      </c>
      <c r="B51" s="118" t="s">
        <v>539</v>
      </c>
      <c r="C51" s="117">
        <v>51</v>
      </c>
      <c r="D51" s="183">
        <v>9545</v>
      </c>
      <c r="E51" s="119">
        <f>'11'!D61</f>
        <v>441957.98850000004</v>
      </c>
      <c r="F51" s="119">
        <f>'11'!E61</f>
        <v>572462.16</v>
      </c>
      <c r="G51" s="118" t="s">
        <v>540</v>
      </c>
      <c r="H51" s="185">
        <f t="shared" si="1"/>
        <v>0.29528637313001083</v>
      </c>
    </row>
    <row r="52" spans="1:8" x14ac:dyDescent="0.25">
      <c r="A52" t="str">
        <f t="shared" si="0"/>
        <v>Г2688 Ф56</v>
      </c>
      <c r="B52" s="118" t="s">
        <v>539</v>
      </c>
      <c r="C52" s="117">
        <v>56</v>
      </c>
      <c r="D52" s="183">
        <v>11650</v>
      </c>
      <c r="E52" s="119">
        <f>'11'!D62</f>
        <v>536714.56649999996</v>
      </c>
      <c r="F52" s="119">
        <f>'11'!E62</f>
        <v>695049.70559999999</v>
      </c>
      <c r="G52" s="118" t="s">
        <v>540</v>
      </c>
      <c r="H52" s="185">
        <f t="shared" si="1"/>
        <v>0.29500808992855987</v>
      </c>
    </row>
    <row r="53" spans="1:8" x14ac:dyDescent="0.25">
      <c r="A53" t="str">
        <f t="shared" si="0"/>
        <v>Г3062 Ф0,65</v>
      </c>
      <c r="B53" s="118" t="s">
        <v>541</v>
      </c>
      <c r="C53" s="117">
        <v>0.65</v>
      </c>
      <c r="D53" s="183">
        <v>2.4</v>
      </c>
      <c r="E53" s="119">
        <f>'12'!D6</f>
        <v>1064.6055000000001</v>
      </c>
      <c r="F53" s="119">
        <f>'12'!E6</f>
        <v>1379.175</v>
      </c>
      <c r="G53" s="118" t="s">
        <v>542</v>
      </c>
      <c r="H53" s="185">
        <f t="shared" si="1"/>
        <v>0.29547987493959016</v>
      </c>
    </row>
    <row r="54" spans="1:8" x14ac:dyDescent="0.25">
      <c r="A54" t="str">
        <f t="shared" si="0"/>
        <v>Г3062 Ф0,75</v>
      </c>
      <c r="B54" s="118" t="s">
        <v>541</v>
      </c>
      <c r="C54" s="117">
        <v>0.75</v>
      </c>
      <c r="D54" s="183">
        <v>2.8</v>
      </c>
      <c r="E54" s="119">
        <f>'12'!D7</f>
        <v>1089.5745000000002</v>
      </c>
      <c r="F54" s="119">
        <f>'12'!E7</f>
        <v>1411.4940000000001</v>
      </c>
      <c r="G54" s="118" t="s">
        <v>542</v>
      </c>
      <c r="H54" s="185">
        <f t="shared" si="1"/>
        <v>0.2954543264366043</v>
      </c>
    </row>
    <row r="55" spans="1:8" x14ac:dyDescent="0.25">
      <c r="A55" t="str">
        <f t="shared" si="0"/>
        <v>Г3062 Ф0,8</v>
      </c>
      <c r="B55" s="118" t="s">
        <v>541</v>
      </c>
      <c r="C55" s="117">
        <v>0.8</v>
      </c>
      <c r="D55" s="183">
        <v>3.3</v>
      </c>
      <c r="E55" s="119">
        <f>'12'!D8</f>
        <v>1128.3825000000002</v>
      </c>
      <c r="F55" s="119">
        <f>'12'!E8</f>
        <v>1461.7890000000002</v>
      </c>
      <c r="G55" s="118" t="s">
        <v>542</v>
      </c>
      <c r="H55" s="185">
        <f t="shared" si="1"/>
        <v>0.29547294467966312</v>
      </c>
    </row>
    <row r="56" spans="1:8" x14ac:dyDescent="0.25">
      <c r="A56" t="str">
        <f t="shared" si="0"/>
        <v>Г3062 Ф0,85</v>
      </c>
      <c r="B56" s="118" t="s">
        <v>541</v>
      </c>
      <c r="C56" s="117">
        <v>0.85</v>
      </c>
      <c r="D56" s="183">
        <v>3.8</v>
      </c>
      <c r="E56" s="119">
        <f>'12'!D9</f>
        <v>1175.4960000000001</v>
      </c>
      <c r="F56" s="119">
        <f>'12'!E9</f>
        <v>1522.8464999999999</v>
      </c>
      <c r="G56" s="118" t="s">
        <v>542</v>
      </c>
      <c r="H56" s="185">
        <f t="shared" si="1"/>
        <v>0.29549271116192632</v>
      </c>
    </row>
    <row r="57" spans="1:8" x14ac:dyDescent="0.25">
      <c r="A57" t="str">
        <f t="shared" si="0"/>
        <v>Г3062 Ф0,9</v>
      </c>
      <c r="B57" s="118" t="s">
        <v>541</v>
      </c>
      <c r="C57" s="117">
        <v>0.9</v>
      </c>
      <c r="D57" s="183">
        <v>4.3</v>
      </c>
      <c r="E57" s="119">
        <f>'12'!D10</f>
        <v>1219.8585</v>
      </c>
      <c r="F57" s="119">
        <f>'12'!E10</f>
        <v>1580.3025</v>
      </c>
      <c r="G57" s="118" t="s">
        <v>542</v>
      </c>
      <c r="H57" s="185">
        <f t="shared" si="1"/>
        <v>0.29548017249541636</v>
      </c>
    </row>
    <row r="58" spans="1:8" x14ac:dyDescent="0.25">
      <c r="A58" t="str">
        <f t="shared" si="0"/>
        <v>Г3062 Ф1</v>
      </c>
      <c r="B58" s="118" t="s">
        <v>541</v>
      </c>
      <c r="C58" s="117">
        <v>1</v>
      </c>
      <c r="D58" s="183">
        <v>5.6</v>
      </c>
      <c r="E58" s="119">
        <f>'12'!D11</f>
        <v>1304.1315</v>
      </c>
      <c r="F58" s="119">
        <f>'12'!E11</f>
        <v>1688.4525000000001</v>
      </c>
      <c r="G58" s="118" t="s">
        <v>542</v>
      </c>
      <c r="H58" s="185">
        <f t="shared" si="1"/>
        <v>0.29469497516163057</v>
      </c>
    </row>
    <row r="59" spans="1:8" x14ac:dyDescent="0.25">
      <c r="A59" t="str">
        <f t="shared" si="0"/>
        <v>Г3062 Ф1,1</v>
      </c>
      <c r="B59" s="118" t="s">
        <v>541</v>
      </c>
      <c r="C59" s="117">
        <v>1.1000000000000001</v>
      </c>
      <c r="D59" s="183">
        <v>6.2</v>
      </c>
      <c r="E59" s="119">
        <f>'12'!D12</f>
        <v>1318.7160000000001</v>
      </c>
      <c r="F59" s="119">
        <f>'12'!E12</f>
        <v>1707.279</v>
      </c>
      <c r="G59" s="118" t="s">
        <v>542</v>
      </c>
      <c r="H59" s="185">
        <f t="shared" si="1"/>
        <v>0.29465252563857569</v>
      </c>
    </row>
    <row r="60" spans="1:8" x14ac:dyDescent="0.25">
      <c r="A60" t="str">
        <f t="shared" si="0"/>
        <v>Г3062 Ф1,2</v>
      </c>
      <c r="B60" s="118" t="s">
        <v>541</v>
      </c>
      <c r="C60" s="117">
        <v>1.2</v>
      </c>
      <c r="D60" s="183">
        <v>7.9</v>
      </c>
      <c r="E60" s="119">
        <f>'12'!D13</f>
        <v>1396.8675000000001</v>
      </c>
      <c r="F60" s="119">
        <f>'12'!E13</f>
        <v>1808.4780000000001</v>
      </c>
      <c r="G60" s="118" t="s">
        <v>542</v>
      </c>
      <c r="H60" s="185">
        <f t="shared" si="1"/>
        <v>0.2946668170030442</v>
      </c>
    </row>
    <row r="61" spans="1:8" x14ac:dyDescent="0.25">
      <c r="A61" t="str">
        <f t="shared" si="0"/>
        <v>Г3062 Ф1,4</v>
      </c>
      <c r="B61" s="118" t="s">
        <v>541</v>
      </c>
      <c r="C61" s="117">
        <v>1.4</v>
      </c>
      <c r="D61" s="183">
        <v>10</v>
      </c>
      <c r="E61" s="119">
        <f>'12'!D14</f>
        <v>1459.5735</v>
      </c>
      <c r="F61" s="119">
        <f>'12'!E14</f>
        <v>1889.6955</v>
      </c>
      <c r="G61" s="118" t="s">
        <v>542</v>
      </c>
      <c r="H61" s="185">
        <f t="shared" si="1"/>
        <v>0.29469019545778274</v>
      </c>
    </row>
    <row r="62" spans="1:8" x14ac:dyDescent="0.25">
      <c r="A62" t="str">
        <f t="shared" si="0"/>
        <v>Г3062 Ф1,6</v>
      </c>
      <c r="B62" s="118" t="s">
        <v>541</v>
      </c>
      <c r="C62" s="117">
        <v>1.6</v>
      </c>
      <c r="D62" s="183">
        <v>12.3</v>
      </c>
      <c r="E62" s="119">
        <f>'12'!D15</f>
        <v>1628.7810000000002</v>
      </c>
      <c r="F62" s="119">
        <f>'12'!E15</f>
        <v>2108.7150000000001</v>
      </c>
      <c r="G62" s="118" t="s">
        <v>542</v>
      </c>
      <c r="H62" s="185">
        <f t="shared" si="1"/>
        <v>0.2946583979061641</v>
      </c>
    </row>
    <row r="63" spans="1:8" x14ac:dyDescent="0.25">
      <c r="A63" t="str">
        <f t="shared" si="0"/>
        <v>Г3062 Ф1,8</v>
      </c>
      <c r="B63" s="118" t="s">
        <v>541</v>
      </c>
      <c r="C63" s="117">
        <v>1.8</v>
      </c>
      <c r="D63" s="183">
        <v>17.600000000000001</v>
      </c>
      <c r="E63" s="119">
        <f>'12'!D16</f>
        <v>1810.6830000000002</v>
      </c>
      <c r="F63" s="119">
        <f>'12'!E16</f>
        <v>2344.2195000000002</v>
      </c>
      <c r="G63" s="118" t="s">
        <v>542</v>
      </c>
      <c r="H63" s="185">
        <f t="shared" si="1"/>
        <v>0.29466035744522912</v>
      </c>
    </row>
    <row r="64" spans="1:8" x14ac:dyDescent="0.25">
      <c r="A64" t="str">
        <f t="shared" si="0"/>
        <v>Г3062 Ф2</v>
      </c>
      <c r="B64" s="118" t="s">
        <v>541</v>
      </c>
      <c r="C64" s="117">
        <v>2</v>
      </c>
      <c r="D64" s="183">
        <v>20.7</v>
      </c>
      <c r="E64" s="119">
        <f>'12'!D17</f>
        <v>1955.0265000000002</v>
      </c>
      <c r="F64" s="119">
        <f>'12'!E17</f>
        <v>2532.3900000000003</v>
      </c>
      <c r="G64" s="118" t="s">
        <v>542</v>
      </c>
      <c r="H64" s="185">
        <f t="shared" si="1"/>
        <v>0.29532259537146954</v>
      </c>
    </row>
    <row r="65" spans="1:8" x14ac:dyDescent="0.25">
      <c r="A65" t="str">
        <f t="shared" si="0"/>
        <v>Г3062 Ф2,2</v>
      </c>
      <c r="B65" s="118" t="s">
        <v>541</v>
      </c>
      <c r="C65" s="117">
        <v>2.2000000000000002</v>
      </c>
      <c r="D65" s="183">
        <v>23.9</v>
      </c>
      <c r="E65" s="119">
        <f>'12'!D18</f>
        <v>2227.2915000000003</v>
      </c>
      <c r="F65" s="119">
        <f>'12'!E18</f>
        <v>2883.5940000000005</v>
      </c>
      <c r="G65" s="118" t="s">
        <v>542</v>
      </c>
      <c r="H65" s="185">
        <f t="shared" si="1"/>
        <v>0.294663944975321</v>
      </c>
    </row>
    <row r="66" spans="1:8" x14ac:dyDescent="0.25">
      <c r="A66" t="str">
        <f t="shared" si="0"/>
        <v>Г3062 Ф2,4</v>
      </c>
      <c r="B66" s="118" t="s">
        <v>541</v>
      </c>
      <c r="C66" s="117">
        <v>2.4</v>
      </c>
      <c r="D66" s="183">
        <v>31.1</v>
      </c>
      <c r="E66" s="119">
        <f>'12'!D19</f>
        <v>2494.7474999999999</v>
      </c>
      <c r="F66" s="119">
        <f>'12'!E19</f>
        <v>3229.8945000000003</v>
      </c>
      <c r="G66" s="118" t="s">
        <v>542</v>
      </c>
      <c r="H66" s="185">
        <f t="shared" si="1"/>
        <v>0.29467791830636192</v>
      </c>
    </row>
    <row r="67" spans="1:8" x14ac:dyDescent="0.25">
      <c r="A67" t="str">
        <f t="shared" si="0"/>
        <v>Г3062 Ф2,8</v>
      </c>
      <c r="B67" s="118" t="s">
        <v>541</v>
      </c>
      <c r="C67" s="117">
        <v>2.8</v>
      </c>
      <c r="D67" s="183">
        <v>39.4</v>
      </c>
      <c r="E67" s="119">
        <f>'12'!D20</f>
        <v>2602.6980000000003</v>
      </c>
      <c r="F67" s="119">
        <f>'12'!E20</f>
        <v>3371.7285000000002</v>
      </c>
      <c r="G67" s="118" t="s">
        <v>542</v>
      </c>
      <c r="H67" s="185">
        <f t="shared" si="1"/>
        <v>0.29547435007826484</v>
      </c>
    </row>
    <row r="68" spans="1:8" x14ac:dyDescent="0.25">
      <c r="A68" t="str">
        <f t="shared" ref="A68:A131" si="2">CONCATENATE(B68," Ф",C68)</f>
        <v>Г3062 Ф3,1</v>
      </c>
      <c r="B68" s="118" t="s">
        <v>541</v>
      </c>
      <c r="C68" s="117">
        <v>3.1</v>
      </c>
      <c r="D68" s="183">
        <v>49.2</v>
      </c>
      <c r="E68" s="119">
        <f>'12'!D21</f>
        <v>3155.1660000000002</v>
      </c>
      <c r="F68" s="119">
        <f>'12'!E21</f>
        <v>4087.4400000000005</v>
      </c>
      <c r="G68" s="118" t="s">
        <v>542</v>
      </c>
      <c r="H68" s="185">
        <f t="shared" ref="H68:H131" si="3">IF(OR(E68=0,F68=0),0,F68/E68-1)</f>
        <v>0.29547542031069063</v>
      </c>
    </row>
    <row r="69" spans="1:8" x14ac:dyDescent="0.25">
      <c r="A69" t="str">
        <f t="shared" si="2"/>
        <v>Г3062 Ф3,4</v>
      </c>
      <c r="B69" s="118" t="s">
        <v>541</v>
      </c>
      <c r="C69" s="117">
        <v>3.4</v>
      </c>
      <c r="D69" s="183">
        <v>59.4</v>
      </c>
      <c r="E69" s="119">
        <f>'12'!D22</f>
        <v>3705.03</v>
      </c>
      <c r="F69" s="119">
        <f>'12'!E22</f>
        <v>4799.7914999999994</v>
      </c>
      <c r="G69" s="118" t="s">
        <v>542</v>
      </c>
      <c r="H69" s="185">
        <f t="shared" si="3"/>
        <v>0.29547979368588084</v>
      </c>
    </row>
    <row r="70" spans="1:8" x14ac:dyDescent="0.25">
      <c r="A70" t="str">
        <f t="shared" si="2"/>
        <v>Г3062 Ф3,7</v>
      </c>
      <c r="B70" s="118" t="s">
        <v>541</v>
      </c>
      <c r="C70" s="117">
        <v>3.7</v>
      </c>
      <c r="D70" s="183">
        <v>70.5</v>
      </c>
      <c r="E70" s="119">
        <f>'12'!D23</f>
        <v>4095.1575000000003</v>
      </c>
      <c r="F70" s="119">
        <f>'12'!E23</f>
        <v>5305.2195000000002</v>
      </c>
      <c r="G70" s="118" t="s">
        <v>542</v>
      </c>
      <c r="H70" s="185">
        <f t="shared" si="3"/>
        <v>0.2954860710485494</v>
      </c>
    </row>
    <row r="71" spans="1:8" x14ac:dyDescent="0.25">
      <c r="A71" t="str">
        <f t="shared" si="2"/>
        <v>Г3062 Ф4</v>
      </c>
      <c r="B71" s="118" t="s">
        <v>541</v>
      </c>
      <c r="C71" s="117">
        <v>4</v>
      </c>
      <c r="D71" s="183">
        <v>82.5</v>
      </c>
      <c r="E71" s="119">
        <f>'12'!D24</f>
        <v>4734.0720000000001</v>
      </c>
      <c r="F71" s="119">
        <f>'12'!E24</f>
        <v>6132.8925000000008</v>
      </c>
      <c r="G71" s="118" t="s">
        <v>542</v>
      </c>
      <c r="H71" s="185">
        <f t="shared" si="3"/>
        <v>0.29547934632172912</v>
      </c>
    </row>
    <row r="72" spans="1:8" x14ac:dyDescent="0.25">
      <c r="A72" t="str">
        <f t="shared" si="2"/>
        <v>Г3062 Ф4,3</v>
      </c>
      <c r="B72" s="118" t="s">
        <v>541</v>
      </c>
      <c r="C72" s="117">
        <v>4.3</v>
      </c>
      <c r="D72" s="183">
        <v>95.6</v>
      </c>
      <c r="E72" s="119">
        <f>'12'!D25</f>
        <v>5352.0074999999997</v>
      </c>
      <c r="F72" s="119">
        <f>'12'!E25</f>
        <v>6933.4125000000004</v>
      </c>
      <c r="G72" s="118" t="s">
        <v>542</v>
      </c>
      <c r="H72" s="185">
        <f t="shared" si="3"/>
        <v>0.29547884602179653</v>
      </c>
    </row>
    <row r="73" spans="1:8" x14ac:dyDescent="0.25">
      <c r="A73" t="str">
        <f t="shared" si="2"/>
        <v>Г3062 Ф4,6</v>
      </c>
      <c r="B73" s="118" t="s">
        <v>541</v>
      </c>
      <c r="C73" s="117">
        <v>4.5999999999999996</v>
      </c>
      <c r="D73" s="183">
        <v>109.6</v>
      </c>
      <c r="E73" s="119">
        <f>'12'!D26</f>
        <v>5899.2570000000005</v>
      </c>
      <c r="F73" s="119">
        <f>'12'!E26</f>
        <v>7642.3410000000003</v>
      </c>
      <c r="G73" s="118" t="s">
        <v>542</v>
      </c>
      <c r="H73" s="185">
        <f t="shared" si="3"/>
        <v>0.29547517594164829</v>
      </c>
    </row>
    <row r="74" spans="1:8" x14ac:dyDescent="0.25">
      <c r="A74" t="str">
        <f t="shared" si="2"/>
        <v>Г3062 Ф4,9</v>
      </c>
      <c r="B74" s="118" t="s">
        <v>541</v>
      </c>
      <c r="C74" s="117">
        <v>4.9000000000000004</v>
      </c>
      <c r="D74" s="183">
        <v>124.6</v>
      </c>
      <c r="E74" s="119">
        <f>'12'!D27</f>
        <v>6703.1055000000006</v>
      </c>
      <c r="F74" s="119">
        <f>'12'!E27</f>
        <v>8683.7309999999998</v>
      </c>
      <c r="G74" s="118" t="s">
        <v>542</v>
      </c>
      <c r="H74" s="185">
        <f t="shared" si="3"/>
        <v>0.29547878964459073</v>
      </c>
    </row>
    <row r="75" spans="1:8" x14ac:dyDescent="0.25">
      <c r="A75" t="str">
        <f t="shared" si="2"/>
        <v>Г3062 Ф5,2</v>
      </c>
      <c r="B75" s="118" t="s">
        <v>541</v>
      </c>
      <c r="C75" s="117">
        <v>5.2</v>
      </c>
      <c r="D75" s="183">
        <v>140.5</v>
      </c>
      <c r="E75" s="119">
        <f>'12'!D28</f>
        <v>7546.2240000000002</v>
      </c>
      <c r="F75" s="119">
        <f>'12'!E28</f>
        <v>9776.0040000000008</v>
      </c>
      <c r="G75" s="118" t="s">
        <v>542</v>
      </c>
      <c r="H75" s="185">
        <f t="shared" si="3"/>
        <v>0.29548287991451105</v>
      </c>
    </row>
    <row r="76" spans="1:8" x14ac:dyDescent="0.25">
      <c r="A76" t="str">
        <f t="shared" si="2"/>
        <v>Г3062 Ф5,5</v>
      </c>
      <c r="B76" s="118" t="s">
        <v>541</v>
      </c>
      <c r="C76" s="117">
        <v>5.5</v>
      </c>
      <c r="D76" s="183">
        <v>157.5</v>
      </c>
      <c r="E76" s="119">
        <f>'12'!D29</f>
        <v>8412.9359999999997</v>
      </c>
      <c r="F76" s="119">
        <f>'12'!E29</f>
        <v>10898.748000000001</v>
      </c>
      <c r="G76" s="118" t="s">
        <v>542</v>
      </c>
      <c r="H76" s="185">
        <f t="shared" si="3"/>
        <v>0.29547496854843569</v>
      </c>
    </row>
    <row r="77" spans="1:8" x14ac:dyDescent="0.25">
      <c r="A77" t="str">
        <f t="shared" si="2"/>
        <v>Г3062 Ф6,2</v>
      </c>
      <c r="B77" s="118" t="s">
        <v>541</v>
      </c>
      <c r="C77" s="117">
        <v>6.2</v>
      </c>
      <c r="D77" s="183">
        <v>197</v>
      </c>
      <c r="E77" s="119">
        <f>'12'!D30</f>
        <v>10452.014999999999</v>
      </c>
      <c r="F77" s="119">
        <f>'12'!E30</f>
        <v>13539.666000000001</v>
      </c>
      <c r="G77" s="118" t="s">
        <v>542</v>
      </c>
      <c r="H77" s="185">
        <f t="shared" si="3"/>
        <v>0.2954120329907679</v>
      </c>
    </row>
    <row r="78" spans="1:8" x14ac:dyDescent="0.25">
      <c r="A78" t="str">
        <f t="shared" si="2"/>
        <v>Г3062 Ф6,8</v>
      </c>
      <c r="B78" s="118" t="s">
        <v>541</v>
      </c>
      <c r="C78" s="117">
        <v>6.8</v>
      </c>
      <c r="D78" s="183">
        <v>238</v>
      </c>
      <c r="E78" s="119">
        <f>'12'!D31</f>
        <v>12589.269000000002</v>
      </c>
      <c r="F78" s="119">
        <f>'12'!E31</f>
        <v>16309.125</v>
      </c>
      <c r="G78" s="118" t="s">
        <v>542</v>
      </c>
      <c r="H78" s="185">
        <f t="shared" si="3"/>
        <v>0.29547831569887006</v>
      </c>
    </row>
    <row r="79" spans="1:8" x14ac:dyDescent="0.25">
      <c r="A79" t="str">
        <f t="shared" si="2"/>
        <v>Г3062 Ф7,4</v>
      </c>
      <c r="B79" s="118" t="s">
        <v>541</v>
      </c>
      <c r="C79" s="117">
        <v>7.4</v>
      </c>
      <c r="D79" s="183">
        <v>282.60000000000002</v>
      </c>
      <c r="E79" s="119">
        <f>'12'!D32</f>
        <v>14817.526500000002</v>
      </c>
      <c r="F79" s="119">
        <f>'12'!E32</f>
        <v>19195.806</v>
      </c>
      <c r="G79" s="118" t="s">
        <v>542</v>
      </c>
      <c r="H79" s="185">
        <f t="shared" si="3"/>
        <v>0.29547978200005232</v>
      </c>
    </row>
    <row r="80" spans="1:8" x14ac:dyDescent="0.25">
      <c r="A80" t="str">
        <f t="shared" si="2"/>
        <v>Г3062 Ф8</v>
      </c>
      <c r="B80" s="118" t="s">
        <v>541</v>
      </c>
      <c r="C80" s="117">
        <v>8</v>
      </c>
      <c r="D80" s="183">
        <v>330.5</v>
      </c>
      <c r="E80" s="119">
        <f>'12'!D33</f>
        <v>17252.634000000002</v>
      </c>
      <c r="F80" s="119">
        <f>'12'!E33</f>
        <v>22350.425999999999</v>
      </c>
      <c r="G80" s="118" t="s">
        <v>542</v>
      </c>
      <c r="H80" s="185">
        <f t="shared" si="3"/>
        <v>0.295479055545953</v>
      </c>
    </row>
    <row r="81" spans="1:8" x14ac:dyDescent="0.25">
      <c r="A81" t="str">
        <f t="shared" si="2"/>
        <v>Г3062 Ф8,6</v>
      </c>
      <c r="B81" s="118" t="s">
        <v>541</v>
      </c>
      <c r="C81" s="117">
        <v>8.6</v>
      </c>
      <c r="D81" s="183">
        <v>382.1</v>
      </c>
      <c r="E81" s="119">
        <f>'12'!D34</f>
        <v>19792.5</v>
      </c>
      <c r="F81" s="119">
        <f>'12'!E34</f>
        <v>25640.737499999999</v>
      </c>
      <c r="G81" s="118" t="s">
        <v>542</v>
      </c>
      <c r="H81" s="185">
        <f t="shared" si="3"/>
        <v>0.29547745358090172</v>
      </c>
    </row>
    <row r="82" spans="1:8" x14ac:dyDescent="0.25">
      <c r="A82" t="str">
        <f t="shared" si="2"/>
        <v>Г3062 Ф9,2</v>
      </c>
      <c r="B82" s="118" t="s">
        <v>541</v>
      </c>
      <c r="C82" s="117">
        <v>9.1999999999999993</v>
      </c>
      <c r="D82" s="183">
        <v>438.5</v>
      </c>
      <c r="E82" s="119">
        <f>'12'!D35</f>
        <v>22638.682500000003</v>
      </c>
      <c r="F82" s="119">
        <f>'12'!E35</f>
        <v>29337.189000000002</v>
      </c>
      <c r="G82" s="118" t="s">
        <v>542</v>
      </c>
      <c r="H82" s="185">
        <f t="shared" si="3"/>
        <v>0.29588764717204707</v>
      </c>
    </row>
    <row r="83" spans="1:8" x14ac:dyDescent="0.25">
      <c r="A83" t="str">
        <f t="shared" si="2"/>
        <v>Г3062 Ф9,8</v>
      </c>
      <c r="B83" s="118" t="s">
        <v>541</v>
      </c>
      <c r="C83" s="117">
        <v>9.8000000000000007</v>
      </c>
      <c r="D83" s="183">
        <v>498.5</v>
      </c>
      <c r="E83" s="119">
        <f>'12'!D36</f>
        <v>25416.793500000003</v>
      </c>
      <c r="F83" s="119">
        <f>'12'!E36</f>
        <v>32926.929000000004</v>
      </c>
      <c r="G83" s="118" t="s">
        <v>542</v>
      </c>
      <c r="H83" s="185">
        <f t="shared" si="3"/>
        <v>0.29547926649362743</v>
      </c>
    </row>
    <row r="84" spans="1:8" x14ac:dyDescent="0.25">
      <c r="A84" t="str">
        <f t="shared" si="2"/>
        <v>Г3062 Ф10,5</v>
      </c>
      <c r="B84" s="118" t="s">
        <v>541</v>
      </c>
      <c r="C84" s="117">
        <v>10.5</v>
      </c>
      <c r="D84" s="183">
        <v>562</v>
      </c>
      <c r="E84" s="119">
        <f>'12'!D37</f>
        <v>28571.980500000001</v>
      </c>
      <c r="F84" s="119">
        <f>'12'!E37</f>
        <v>37014.379500000003</v>
      </c>
      <c r="G84" s="118" t="s">
        <v>542</v>
      </c>
      <c r="H84" s="185">
        <f t="shared" si="3"/>
        <v>0.29547825709876863</v>
      </c>
    </row>
    <row r="85" spans="1:8" x14ac:dyDescent="0.25">
      <c r="A85" t="str">
        <f t="shared" si="2"/>
        <v>Г3062 Ф11,5</v>
      </c>
      <c r="B85" s="118" t="s">
        <v>541</v>
      </c>
      <c r="C85" s="117">
        <v>11.5</v>
      </c>
      <c r="D85" s="183">
        <v>700.5</v>
      </c>
      <c r="E85" s="119">
        <f>'12'!D38</f>
        <v>35570.965500000006</v>
      </c>
      <c r="F85" s="119">
        <f>'12'!E38</f>
        <v>46081.413</v>
      </c>
      <c r="G85" s="118" t="s">
        <v>542</v>
      </c>
      <c r="H85" s="185">
        <f t="shared" si="3"/>
        <v>0.29547827426837747</v>
      </c>
    </row>
    <row r="86" spans="1:8" x14ac:dyDescent="0.25">
      <c r="A86" t="str">
        <f t="shared" si="2"/>
        <v>Г3063 Ф1</v>
      </c>
      <c r="B86" s="118" t="s">
        <v>543</v>
      </c>
      <c r="C86" s="117">
        <v>1</v>
      </c>
      <c r="D86" s="183">
        <v>5.2</v>
      </c>
      <c r="E86" s="119">
        <f>'13'!D7</f>
        <v>1987.8075000000001</v>
      </c>
      <c r="F86" s="119">
        <f>'13'!E7</f>
        <v>2575.4085</v>
      </c>
      <c r="G86" s="118" t="s">
        <v>542</v>
      </c>
      <c r="H86" s="185">
        <f t="shared" si="3"/>
        <v>0.295602567149988</v>
      </c>
    </row>
    <row r="87" spans="1:8" x14ac:dyDescent="0.25">
      <c r="A87" t="str">
        <f t="shared" si="2"/>
        <v>Г3063 Ф1,1</v>
      </c>
      <c r="B87" s="118" t="s">
        <v>543</v>
      </c>
      <c r="C87" s="117">
        <v>1.1000000000000001</v>
      </c>
      <c r="D87" s="183">
        <v>6.3</v>
      </c>
      <c r="E87" s="119">
        <f>'13'!D8</f>
        <v>2185.0920000000001</v>
      </c>
      <c r="F87" s="119">
        <f>'13'!E8</f>
        <v>2830.9995000000004</v>
      </c>
      <c r="G87" s="118" t="s">
        <v>542</v>
      </c>
      <c r="H87" s="185">
        <f t="shared" si="3"/>
        <v>0.29559739361088688</v>
      </c>
    </row>
    <row r="88" spans="1:8" x14ac:dyDescent="0.25">
      <c r="A88" t="str">
        <f t="shared" si="2"/>
        <v>Г3063 Ф1,2</v>
      </c>
      <c r="B88" s="118" t="s">
        <v>543</v>
      </c>
      <c r="C88" s="117">
        <v>1.2</v>
      </c>
      <c r="D88" s="183">
        <v>7.5</v>
      </c>
      <c r="E88" s="119">
        <f>'13'!D9</f>
        <v>2260.9650000000001</v>
      </c>
      <c r="F88" s="119">
        <f>'13'!E9</f>
        <v>2929.3005000000003</v>
      </c>
      <c r="G88" s="118" t="s">
        <v>542</v>
      </c>
      <c r="H88" s="185">
        <f t="shared" si="3"/>
        <v>0.29559745506896395</v>
      </c>
    </row>
    <row r="89" spans="1:8" x14ac:dyDescent="0.25">
      <c r="A89" t="str">
        <f t="shared" si="2"/>
        <v>Г3063 Ф1,3</v>
      </c>
      <c r="B89" s="118" t="s">
        <v>543</v>
      </c>
      <c r="C89" s="117">
        <v>1.3</v>
      </c>
      <c r="D89" s="183">
        <v>8.8000000000000007</v>
      </c>
      <c r="E89" s="119">
        <f>'13'!D10</f>
        <v>2352</v>
      </c>
      <c r="F89" s="119">
        <f>'13'!E10</f>
        <v>3047.268</v>
      </c>
      <c r="G89" s="118" t="s">
        <v>542</v>
      </c>
      <c r="H89" s="185">
        <f t="shared" si="3"/>
        <v>0.29560714285714296</v>
      </c>
    </row>
    <row r="90" spans="1:8" x14ac:dyDescent="0.25">
      <c r="A90" t="str">
        <f t="shared" si="2"/>
        <v>Г3063 Ф1,4</v>
      </c>
      <c r="B90" s="118" t="s">
        <v>543</v>
      </c>
      <c r="C90" s="117">
        <v>1.4</v>
      </c>
      <c r="D90" s="183">
        <v>10.1</v>
      </c>
      <c r="E90" s="119">
        <f>'13'!D11</f>
        <v>2412.6900000000005</v>
      </c>
      <c r="F90" s="119">
        <f>'13'!E11</f>
        <v>3125.8920000000003</v>
      </c>
      <c r="G90" s="118" t="s">
        <v>542</v>
      </c>
      <c r="H90" s="185">
        <f t="shared" si="3"/>
        <v>0.29560449125250221</v>
      </c>
    </row>
    <row r="91" spans="1:8" x14ac:dyDescent="0.25">
      <c r="A91" t="str">
        <f t="shared" si="2"/>
        <v>Г3063 Ф1,5</v>
      </c>
      <c r="B91" s="118" t="s">
        <v>543</v>
      </c>
      <c r="C91" s="117">
        <v>1.5</v>
      </c>
      <c r="D91" s="183">
        <v>11.6</v>
      </c>
      <c r="E91" s="119">
        <f>'13'!D12</f>
        <v>2714.3760000000002</v>
      </c>
      <c r="F91" s="119">
        <f>'13'!E12</f>
        <v>3516.7335000000003</v>
      </c>
      <c r="G91" s="118" t="s">
        <v>542</v>
      </c>
      <c r="H91" s="185">
        <f t="shared" si="3"/>
        <v>0.29559556229498041</v>
      </c>
    </row>
    <row r="92" spans="1:8" x14ac:dyDescent="0.25">
      <c r="A92" t="str">
        <f t="shared" si="2"/>
        <v>Г3063 Ф1,8</v>
      </c>
      <c r="B92" s="118" t="s">
        <v>543</v>
      </c>
      <c r="C92" s="117">
        <v>1.8</v>
      </c>
      <c r="D92" s="183">
        <v>16.600000000000001</v>
      </c>
      <c r="E92" s="119">
        <f>'13'!D14</f>
        <v>3186.0780000000004</v>
      </c>
      <c r="F92" s="119">
        <f>'13'!E14</f>
        <v>4127.9175000000005</v>
      </c>
      <c r="G92" s="118" t="s">
        <v>542</v>
      </c>
      <c r="H92" s="185">
        <f t="shared" si="3"/>
        <v>0.29561093607877775</v>
      </c>
    </row>
    <row r="93" spans="1:8" x14ac:dyDescent="0.25">
      <c r="A93" t="str">
        <f t="shared" si="2"/>
        <v>Г3063 Ф2</v>
      </c>
      <c r="B93" s="118" t="s">
        <v>543</v>
      </c>
      <c r="C93" s="117">
        <v>2</v>
      </c>
      <c r="D93" s="183">
        <v>20.8</v>
      </c>
      <c r="E93" s="119">
        <f>'13'!D15</f>
        <v>3359.0129999999999</v>
      </c>
      <c r="F93" s="119">
        <f>'13'!E15</f>
        <v>4351.9140000000007</v>
      </c>
      <c r="G93" s="118" t="s">
        <v>542</v>
      </c>
      <c r="H93" s="185">
        <f t="shared" si="3"/>
        <v>0.29559308046738741</v>
      </c>
    </row>
    <row r="94" spans="1:8" x14ac:dyDescent="0.25">
      <c r="A94" t="str">
        <f t="shared" si="2"/>
        <v>Г3063 Ф2,6</v>
      </c>
      <c r="B94" s="118" t="s">
        <v>543</v>
      </c>
      <c r="C94" s="117">
        <v>2.6</v>
      </c>
      <c r="D94" s="183">
        <v>32.299999999999997</v>
      </c>
      <c r="E94" s="119">
        <f>'13'!D16</f>
        <v>3998.9670000000001</v>
      </c>
      <c r="F94" s="119">
        <f>'13'!E16</f>
        <v>5181.1095000000005</v>
      </c>
      <c r="G94" s="118" t="s">
        <v>542</v>
      </c>
      <c r="H94" s="185">
        <f t="shared" si="3"/>
        <v>0.29561196679042379</v>
      </c>
    </row>
    <row r="95" spans="1:8" x14ac:dyDescent="0.25">
      <c r="A95" t="str">
        <f t="shared" si="2"/>
        <v>Г3063 Ф3</v>
      </c>
      <c r="B95" s="118" t="s">
        <v>543</v>
      </c>
      <c r="C95" s="117">
        <v>3</v>
      </c>
      <c r="D95" s="183">
        <v>46.5</v>
      </c>
      <c r="E95" s="119">
        <f>'13'!D17</f>
        <v>4388.5800000000008</v>
      </c>
      <c r="F95" s="119">
        <f>'13'!E17</f>
        <v>5685.5715</v>
      </c>
      <c r="G95" s="118" t="s">
        <v>542</v>
      </c>
      <c r="H95" s="185">
        <f t="shared" si="3"/>
        <v>0.29553785051201054</v>
      </c>
    </row>
    <row r="96" spans="1:8" x14ac:dyDescent="0.25">
      <c r="A96" t="str">
        <f t="shared" si="2"/>
        <v>Г3063 Ф3,3</v>
      </c>
      <c r="B96" s="118" t="s">
        <v>543</v>
      </c>
      <c r="C96" s="117">
        <v>3.3</v>
      </c>
      <c r="D96" s="183">
        <v>54.6</v>
      </c>
      <c r="E96" s="119">
        <f>'13'!D18</f>
        <v>4639.4984999999997</v>
      </c>
      <c r="F96" s="119">
        <f>'13'!E18</f>
        <v>6010.9140000000007</v>
      </c>
      <c r="G96" s="118" t="s">
        <v>542</v>
      </c>
      <c r="H96" s="185">
        <f t="shared" si="3"/>
        <v>0.29559563388155019</v>
      </c>
    </row>
    <row r="97" spans="1:8" x14ac:dyDescent="0.25">
      <c r="A97" t="str">
        <f t="shared" si="2"/>
        <v>Г3063 Ф3,6</v>
      </c>
      <c r="B97" s="118" t="s">
        <v>543</v>
      </c>
      <c r="C97" s="117">
        <v>3.6</v>
      </c>
      <c r="D97" s="183">
        <v>63.2</v>
      </c>
      <c r="E97" s="119">
        <f>'13'!D19</f>
        <v>5212.2735000000002</v>
      </c>
      <c r="F97" s="119">
        <f>'13'!E19</f>
        <v>6753.0435000000007</v>
      </c>
      <c r="G97" s="118" t="s">
        <v>542</v>
      </c>
      <c r="H97" s="185">
        <f t="shared" si="3"/>
        <v>0.29560421186647257</v>
      </c>
    </row>
    <row r="98" spans="1:8" x14ac:dyDescent="0.25">
      <c r="A98" t="str">
        <f t="shared" si="2"/>
        <v>Г3063 Ф4</v>
      </c>
      <c r="B98" s="118" t="s">
        <v>543</v>
      </c>
      <c r="C98" s="117">
        <v>4</v>
      </c>
      <c r="D98" s="183">
        <v>82.5</v>
      </c>
      <c r="E98" s="119">
        <f>'13'!D20</f>
        <v>6110.9580000000005</v>
      </c>
      <c r="F98" s="119">
        <f>'13'!E20</f>
        <v>7917.3465000000006</v>
      </c>
      <c r="G98" s="118" t="s">
        <v>542</v>
      </c>
      <c r="H98" s="185">
        <f t="shared" si="3"/>
        <v>0.29559825153437469</v>
      </c>
    </row>
    <row r="99" spans="1:8" x14ac:dyDescent="0.25">
      <c r="A99" t="str">
        <f t="shared" si="2"/>
        <v>Г3063 Ф4,6</v>
      </c>
      <c r="B99" s="118" t="s">
        <v>543</v>
      </c>
      <c r="C99" s="117">
        <v>4.5999999999999996</v>
      </c>
      <c r="D99" s="183">
        <v>104.5</v>
      </c>
      <c r="E99" s="119">
        <f>'13'!D21</f>
        <v>7644.8925000000008</v>
      </c>
      <c r="F99" s="119">
        <f>'13'!E21</f>
        <v>9904.2300000000014</v>
      </c>
      <c r="G99" s="118" t="s">
        <v>542</v>
      </c>
      <c r="H99" s="185">
        <f t="shared" si="3"/>
        <v>0.29553554873400767</v>
      </c>
    </row>
    <row r="100" spans="1:8" x14ac:dyDescent="0.25">
      <c r="A100" t="str">
        <f t="shared" si="2"/>
        <v>Г3063 Ф5</v>
      </c>
      <c r="B100" s="118" t="s">
        <v>543</v>
      </c>
      <c r="C100" s="117">
        <v>5</v>
      </c>
      <c r="D100" s="183">
        <v>129.80000000000001</v>
      </c>
      <c r="E100" s="119">
        <f>'13'!D22</f>
        <v>9435.9510000000009</v>
      </c>
      <c r="F100" s="119">
        <f>'13'!E22</f>
        <v>12225.6435</v>
      </c>
      <c r="G100" s="118" t="s">
        <v>542</v>
      </c>
      <c r="H100" s="185">
        <f t="shared" si="3"/>
        <v>0.29564508124300337</v>
      </c>
    </row>
    <row r="101" spans="1:8" x14ac:dyDescent="0.25">
      <c r="A101" t="str">
        <f t="shared" si="2"/>
        <v>Г3063 Ф5,6</v>
      </c>
      <c r="B101" s="118" t="s">
        <v>543</v>
      </c>
      <c r="C101" s="117">
        <v>5.6</v>
      </c>
      <c r="D101" s="183">
        <v>156.9</v>
      </c>
      <c r="E101" s="119">
        <f>'13'!D23</f>
        <v>10671.423000000001</v>
      </c>
      <c r="F101" s="119">
        <f>'13'!E23</f>
        <v>13825.9485</v>
      </c>
      <c r="G101" s="118" t="s">
        <v>542</v>
      </c>
      <c r="H101" s="185">
        <f t="shared" si="3"/>
        <v>0.29560495352869065</v>
      </c>
    </row>
    <row r="102" spans="1:8" x14ac:dyDescent="0.25">
      <c r="A102" t="str">
        <f t="shared" si="2"/>
        <v>Г3063 Ф6,1</v>
      </c>
      <c r="B102" s="118" t="s">
        <v>543</v>
      </c>
      <c r="C102" s="117">
        <v>6.1</v>
      </c>
      <c r="D102" s="183">
        <v>186</v>
      </c>
      <c r="E102" s="119">
        <f>'13'!D24</f>
        <v>11782.333500000001</v>
      </c>
      <c r="F102" s="119">
        <f>'13'!E24</f>
        <v>15265.236000000001</v>
      </c>
      <c r="G102" s="118" t="s">
        <v>542</v>
      </c>
      <c r="H102" s="185">
        <f t="shared" si="3"/>
        <v>0.29560379529233316</v>
      </c>
    </row>
    <row r="103" spans="1:8" x14ac:dyDescent="0.25">
      <c r="A103" t="str">
        <f t="shared" si="2"/>
        <v>Г3063 Ф6,6</v>
      </c>
      <c r="B103" s="118" t="s">
        <v>543</v>
      </c>
      <c r="C103" s="117">
        <v>6.6</v>
      </c>
      <c r="D103" s="183">
        <v>218.5</v>
      </c>
      <c r="E103" s="119">
        <f>'13'!D25</f>
        <v>12880.035000000002</v>
      </c>
      <c r="F103" s="119">
        <f>'13'!E25</f>
        <v>16687.3665</v>
      </c>
      <c r="G103" s="118" t="s">
        <v>542</v>
      </c>
      <c r="H103" s="185">
        <f t="shared" si="3"/>
        <v>0.29559946847970497</v>
      </c>
    </row>
    <row r="104" spans="1:8" x14ac:dyDescent="0.25">
      <c r="A104" t="str">
        <f t="shared" si="2"/>
        <v>Г3063 Ф7,1</v>
      </c>
      <c r="B104" s="118" t="s">
        <v>543</v>
      </c>
      <c r="C104" s="117">
        <v>7.1</v>
      </c>
      <c r="D104" s="183">
        <v>253</v>
      </c>
      <c r="E104" s="119">
        <f>'13'!D26</f>
        <v>14788.788</v>
      </c>
      <c r="F104" s="119">
        <f>'13'!E26</f>
        <v>19160.421000000002</v>
      </c>
      <c r="G104" s="118" t="s">
        <v>542</v>
      </c>
      <c r="H104" s="185">
        <f t="shared" si="3"/>
        <v>0.29560454852689766</v>
      </c>
    </row>
    <row r="105" spans="1:8" x14ac:dyDescent="0.25">
      <c r="A105" t="str">
        <f t="shared" si="2"/>
        <v>Г3063 Ф7,6</v>
      </c>
      <c r="B105" s="118" t="s">
        <v>543</v>
      </c>
      <c r="C105" s="117">
        <v>7.6</v>
      </c>
      <c r="D105" s="183">
        <v>290.5</v>
      </c>
      <c r="E105" s="119">
        <f>'13'!D27</f>
        <v>16607.577000000001</v>
      </c>
      <c r="F105" s="119">
        <f>'13'!E27</f>
        <v>21516.799500000001</v>
      </c>
      <c r="G105" s="118" t="s">
        <v>542</v>
      </c>
      <c r="H105" s="185">
        <f t="shared" si="3"/>
        <v>0.29560136918227142</v>
      </c>
    </row>
    <row r="106" spans="1:8" x14ac:dyDescent="0.25">
      <c r="A106" t="str">
        <f t="shared" si="2"/>
        <v>Г3063 Ф8,1</v>
      </c>
      <c r="B106" s="118" t="s">
        <v>543</v>
      </c>
      <c r="C106" s="117">
        <v>8.1</v>
      </c>
      <c r="D106" s="183">
        <v>330</v>
      </c>
      <c r="E106" s="119">
        <f>'13'!D28</f>
        <v>18480.4725</v>
      </c>
      <c r="F106" s="119">
        <f>'13'!E28</f>
        <v>23943.307500000003</v>
      </c>
      <c r="G106" s="118" t="s">
        <v>542</v>
      </c>
      <c r="H106" s="185">
        <f t="shared" si="3"/>
        <v>0.29560039658076942</v>
      </c>
    </row>
    <row r="107" spans="1:8" x14ac:dyDescent="0.25">
      <c r="A107" t="str">
        <f t="shared" si="2"/>
        <v>Г3063 Ф8,6</v>
      </c>
      <c r="B107" s="118" t="s">
        <v>543</v>
      </c>
      <c r="C107" s="117">
        <v>8.6</v>
      </c>
      <c r="D107" s="183">
        <v>372.6</v>
      </c>
      <c r="E107" s="119">
        <f>'13'!D29</f>
        <v>20566.0455</v>
      </c>
      <c r="F107" s="119">
        <f>'13'!E29</f>
        <v>26645.4195</v>
      </c>
      <c r="G107" s="118" t="s">
        <v>542</v>
      </c>
      <c r="H107" s="185">
        <f t="shared" si="3"/>
        <v>0.29560247739411061</v>
      </c>
    </row>
    <row r="108" spans="1:8" x14ac:dyDescent="0.25">
      <c r="A108" t="str">
        <f t="shared" si="2"/>
        <v>Г3063 Ф9,1</v>
      </c>
      <c r="B108" s="118" t="s">
        <v>543</v>
      </c>
      <c r="C108" s="117">
        <v>9.1</v>
      </c>
      <c r="D108" s="183">
        <v>417.5</v>
      </c>
      <c r="E108" s="119">
        <f>'13'!D30</f>
        <v>22038.376500000002</v>
      </c>
      <c r="F108" s="119">
        <f>'13'!E30</f>
        <v>28536.669000000002</v>
      </c>
      <c r="G108" s="118" t="s">
        <v>542</v>
      </c>
      <c r="H108" s="185">
        <f t="shared" si="3"/>
        <v>0.29486257755874168</v>
      </c>
    </row>
    <row r="109" spans="1:8" x14ac:dyDescent="0.25">
      <c r="A109" t="str">
        <f t="shared" si="2"/>
        <v>Г3063 Ф10</v>
      </c>
      <c r="B109" s="118" t="s">
        <v>543</v>
      </c>
      <c r="C109" s="117">
        <v>10</v>
      </c>
      <c r="D109" s="183">
        <v>519</v>
      </c>
      <c r="E109" s="119">
        <f>'13'!D31</f>
        <v>28617.823500000002</v>
      </c>
      <c r="F109" s="119">
        <f>'13'!E31</f>
        <v>37056.137999999999</v>
      </c>
      <c r="G109" s="118" t="s">
        <v>542</v>
      </c>
      <c r="H109" s="185">
        <f t="shared" si="3"/>
        <v>0.29486220361936311</v>
      </c>
    </row>
    <row r="110" spans="1:8" x14ac:dyDescent="0.25">
      <c r="A110" t="str">
        <f t="shared" si="2"/>
        <v>Г3063 Ф11</v>
      </c>
      <c r="B110" s="118" t="s">
        <v>543</v>
      </c>
      <c r="C110" s="117">
        <v>11</v>
      </c>
      <c r="D110" s="183">
        <v>627.4</v>
      </c>
      <c r="E110" s="119">
        <f>'13'!D32</f>
        <v>32978.2425</v>
      </c>
      <c r="F110" s="119">
        <f>'13'!E32</f>
        <v>42702.292500000003</v>
      </c>
      <c r="G110" s="118" t="s">
        <v>542</v>
      </c>
      <c r="H110" s="185">
        <f t="shared" si="3"/>
        <v>0.29486259008496285</v>
      </c>
    </row>
    <row r="111" spans="1:8" x14ac:dyDescent="0.25">
      <c r="A111" t="str">
        <f t="shared" si="2"/>
        <v>Г3063 Ф12</v>
      </c>
      <c r="B111" s="118" t="s">
        <v>543</v>
      </c>
      <c r="C111" s="117">
        <v>12</v>
      </c>
      <c r="D111" s="183">
        <v>746</v>
      </c>
      <c r="E111" s="119">
        <f>'13'!D33</f>
        <v>41785.390500000001</v>
      </c>
      <c r="F111" s="119">
        <f>'13'!E33</f>
        <v>54106.332000000002</v>
      </c>
      <c r="G111" s="118" t="s">
        <v>542</v>
      </c>
      <c r="H111" s="185">
        <f t="shared" si="3"/>
        <v>0.29486242326729006</v>
      </c>
    </row>
    <row r="112" spans="1:8" x14ac:dyDescent="0.25">
      <c r="A112" t="str">
        <f t="shared" si="2"/>
        <v>Г3063 Ф13</v>
      </c>
      <c r="B112" s="118" t="s">
        <v>543</v>
      </c>
      <c r="C112" s="117">
        <v>13</v>
      </c>
      <c r="D112" s="183">
        <v>873</v>
      </c>
      <c r="E112" s="119">
        <f>'13'!D34</f>
        <v>45755.734499999999</v>
      </c>
      <c r="F112" s="119">
        <f>'13'!E34</f>
        <v>59247.384000000005</v>
      </c>
      <c r="G112" s="118" t="s">
        <v>542</v>
      </c>
      <c r="H112" s="185">
        <f t="shared" si="3"/>
        <v>0.29486248330250286</v>
      </c>
    </row>
    <row r="113" spans="1:8" x14ac:dyDescent="0.25">
      <c r="A113" t="str">
        <f t="shared" si="2"/>
        <v>Г3063 Ф14</v>
      </c>
      <c r="B113" s="118" t="s">
        <v>543</v>
      </c>
      <c r="C113" s="117">
        <v>14</v>
      </c>
      <c r="D113" s="183">
        <v>1050</v>
      </c>
      <c r="E113" s="119">
        <f>'13'!D35</f>
        <v>54633.453000000001</v>
      </c>
      <c r="F113" s="119">
        <f>'13'!E35</f>
        <v>70742.784</v>
      </c>
      <c r="G113" s="118" t="s">
        <v>542</v>
      </c>
      <c r="H113" s="185">
        <f t="shared" si="3"/>
        <v>0.29486203260848254</v>
      </c>
    </row>
    <row r="114" spans="1:8" x14ac:dyDescent="0.25">
      <c r="A114" t="str">
        <f t="shared" si="2"/>
        <v>Г3063 Ф15</v>
      </c>
      <c r="B114" s="118" t="s">
        <v>543</v>
      </c>
      <c r="C114" s="117">
        <v>15</v>
      </c>
      <c r="D114" s="183">
        <v>1160</v>
      </c>
      <c r="E114" s="119">
        <f>'13'!D36</f>
        <v>60234.940500000004</v>
      </c>
      <c r="F114" s="119">
        <f>'13'!E36</f>
        <v>77995.953000000009</v>
      </c>
      <c r="G114" s="118" t="s">
        <v>542</v>
      </c>
      <c r="H114" s="185">
        <f t="shared" si="3"/>
        <v>0.29486229010220399</v>
      </c>
    </row>
    <row r="115" spans="1:8" x14ac:dyDescent="0.25">
      <c r="A115" t="str">
        <f t="shared" si="2"/>
        <v>Г3063 Ф16</v>
      </c>
      <c r="B115" s="118" t="s">
        <v>543</v>
      </c>
      <c r="C115" s="117">
        <v>16</v>
      </c>
      <c r="D115" s="183">
        <v>1320</v>
      </c>
      <c r="E115" s="119">
        <f>'13'!D37</f>
        <v>67252.321500000005</v>
      </c>
      <c r="F115" s="119">
        <f>'13'!E37</f>
        <v>87115.287000000011</v>
      </c>
      <c r="G115" s="118" t="s">
        <v>542</v>
      </c>
      <c r="H115" s="185">
        <f t="shared" si="3"/>
        <v>0.29534988617456137</v>
      </c>
    </row>
    <row r="116" spans="1:8" x14ac:dyDescent="0.25">
      <c r="A116" t="str">
        <f t="shared" si="2"/>
        <v>Г3063 Ф17</v>
      </c>
      <c r="B116" s="118" t="s">
        <v>543</v>
      </c>
      <c r="C116" s="117">
        <v>17</v>
      </c>
      <c r="D116" s="183">
        <v>1490</v>
      </c>
      <c r="E116" s="119">
        <f>'13'!D38</f>
        <v>74752.513500000001</v>
      </c>
      <c r="F116" s="119">
        <f>'13'!E38</f>
        <v>96794.218500000003</v>
      </c>
      <c r="G116" s="118" t="s">
        <v>542</v>
      </c>
      <c r="H116" s="185">
        <f t="shared" si="3"/>
        <v>0.29486239282107896</v>
      </c>
    </row>
    <row r="117" spans="1:8" x14ac:dyDescent="0.25">
      <c r="A117" t="str">
        <f t="shared" si="2"/>
        <v>Г3063 Ф19</v>
      </c>
      <c r="B117" s="118" t="s">
        <v>543</v>
      </c>
      <c r="C117" s="117">
        <v>19</v>
      </c>
      <c r="D117" s="183">
        <v>1855</v>
      </c>
      <c r="E117" s="119">
        <f>'13'!D39</f>
        <v>86491.282500000001</v>
      </c>
      <c r="F117" s="119">
        <f>'13'!E39</f>
        <v>111994.30200000001</v>
      </c>
      <c r="G117" s="118" t="s">
        <v>542</v>
      </c>
      <c r="H117" s="185">
        <f t="shared" si="3"/>
        <v>0.29486231170176036</v>
      </c>
    </row>
    <row r="118" spans="1:8" x14ac:dyDescent="0.25">
      <c r="A118" t="str">
        <f t="shared" si="2"/>
        <v>Г3064 Ф1,6</v>
      </c>
      <c r="B118" s="118" t="s">
        <v>544</v>
      </c>
      <c r="C118" s="117">
        <v>1.6</v>
      </c>
      <c r="D118" s="183">
        <v>12</v>
      </c>
      <c r="E118" s="119" t="e">
        <f>'13'!#REF!</f>
        <v>#REF!</v>
      </c>
      <c r="F118" s="119" t="e">
        <f>'13'!#REF!</f>
        <v>#REF!</v>
      </c>
      <c r="G118" s="118" t="s">
        <v>542</v>
      </c>
      <c r="H118" s="185" t="e">
        <f t="shared" si="3"/>
        <v>#REF!</v>
      </c>
    </row>
    <row r="119" spans="1:8" x14ac:dyDescent="0.25">
      <c r="A119" t="str">
        <f t="shared" si="2"/>
        <v>Г3064 Ф1,8</v>
      </c>
      <c r="B119" s="118" t="s">
        <v>544</v>
      </c>
      <c r="C119" s="117">
        <v>1.8</v>
      </c>
      <c r="D119" s="183">
        <v>16.8</v>
      </c>
      <c r="E119" s="119">
        <f>'13'!D46</f>
        <v>4323.9945000000007</v>
      </c>
      <c r="F119" s="119">
        <f>'13'!E46</f>
        <v>5602.4009999999998</v>
      </c>
      <c r="G119" s="118" t="s">
        <v>542</v>
      </c>
      <c r="H119" s="185">
        <f t="shared" si="3"/>
        <v>0.29565405321398974</v>
      </c>
    </row>
    <row r="120" spans="1:8" x14ac:dyDescent="0.25">
      <c r="A120" t="str">
        <f t="shared" si="2"/>
        <v>Г3064 Ф2</v>
      </c>
      <c r="B120" s="118" t="s">
        <v>544</v>
      </c>
      <c r="C120" s="117">
        <v>2</v>
      </c>
      <c r="D120" s="183">
        <v>19.5</v>
      </c>
      <c r="E120" s="119">
        <f>'13'!D47</f>
        <v>4420.4580000000005</v>
      </c>
      <c r="F120" s="119">
        <f>'13'!E47</f>
        <v>5727.3405000000002</v>
      </c>
      <c r="G120" s="118" t="s">
        <v>542</v>
      </c>
      <c r="H120" s="185">
        <f t="shared" si="3"/>
        <v>0.29564413913671372</v>
      </c>
    </row>
    <row r="121" spans="1:8" x14ac:dyDescent="0.25">
      <c r="A121" t="str">
        <f t="shared" si="2"/>
        <v>Г3064 Ф2,1</v>
      </c>
      <c r="B121" s="118" t="s">
        <v>544</v>
      </c>
      <c r="C121" s="117">
        <v>2.1</v>
      </c>
      <c r="D121" s="183">
        <v>22.3</v>
      </c>
      <c r="E121" s="119">
        <f>'13'!D48</f>
        <v>4475.8455000000004</v>
      </c>
      <c r="F121" s="119">
        <f>'13'!E48</f>
        <v>5799.1080000000002</v>
      </c>
      <c r="G121" s="118" t="s">
        <v>542</v>
      </c>
      <c r="H121" s="185">
        <f t="shared" si="3"/>
        <v>0.29564525853271739</v>
      </c>
    </row>
    <row r="122" spans="1:8" x14ac:dyDescent="0.25">
      <c r="A122" t="str">
        <f t="shared" si="2"/>
        <v>Г3064 Ф2,4</v>
      </c>
      <c r="B122" s="118" t="s">
        <v>544</v>
      </c>
      <c r="C122" s="117">
        <v>2.4</v>
      </c>
      <c r="D122" s="183">
        <v>28.7</v>
      </c>
      <c r="E122" s="119">
        <f>'13'!D49</f>
        <v>4673.308500000001</v>
      </c>
      <c r="F122" s="119">
        <f>'13'!E49</f>
        <v>6054.9615000000003</v>
      </c>
      <c r="G122" s="118" t="s">
        <v>542</v>
      </c>
      <c r="H122" s="185">
        <f t="shared" si="3"/>
        <v>0.2956477193833873</v>
      </c>
    </row>
    <row r="123" spans="1:8" x14ac:dyDescent="0.25">
      <c r="A123" t="str">
        <f t="shared" si="2"/>
        <v>Г3064 Ф2,7</v>
      </c>
      <c r="B123" s="118" t="s">
        <v>544</v>
      </c>
      <c r="C123" s="117">
        <v>2.7</v>
      </c>
      <c r="D123" s="183">
        <v>35.9</v>
      </c>
      <c r="E123" s="119">
        <f>'13'!D50</f>
        <v>5024.9955</v>
      </c>
      <c r="F123" s="119">
        <f>'13'!E50</f>
        <v>6510.6195000000007</v>
      </c>
      <c r="G123" s="118" t="s">
        <v>542</v>
      </c>
      <c r="H123" s="185">
        <f t="shared" si="3"/>
        <v>0.29564683192253627</v>
      </c>
    </row>
    <row r="124" spans="1:8" x14ac:dyDescent="0.25">
      <c r="A124" t="str">
        <f t="shared" si="2"/>
        <v>Г3064 Ф2,8</v>
      </c>
      <c r="B124" s="118" t="s">
        <v>544</v>
      </c>
      <c r="C124" s="117">
        <v>2.8</v>
      </c>
      <c r="D124" s="183">
        <v>39.9</v>
      </c>
      <c r="E124" s="119">
        <f>'13'!D51</f>
        <v>5376.6824999999999</v>
      </c>
      <c r="F124" s="119">
        <f>'13'!E51</f>
        <v>6966.2880000000005</v>
      </c>
      <c r="G124" s="118" t="s">
        <v>542</v>
      </c>
      <c r="H124" s="185">
        <f t="shared" si="3"/>
        <v>0.29564801343579439</v>
      </c>
    </row>
    <row r="125" spans="1:8" x14ac:dyDescent="0.25">
      <c r="A125" t="str">
        <f t="shared" si="2"/>
        <v>Г3064 Ф3,6</v>
      </c>
      <c r="B125" s="118" t="s">
        <v>544</v>
      </c>
      <c r="C125" s="117">
        <v>3.6</v>
      </c>
      <c r="D125" s="183">
        <v>62.4</v>
      </c>
      <c r="E125" s="119">
        <f>'13'!D52</f>
        <v>6565.7130000000006</v>
      </c>
      <c r="F125" s="119">
        <f>'13'!E52</f>
        <v>8506.8900000000012</v>
      </c>
      <c r="G125" s="118" t="s">
        <v>542</v>
      </c>
      <c r="H125" s="185">
        <f t="shared" si="3"/>
        <v>0.29565364797395199</v>
      </c>
    </row>
    <row r="126" spans="1:8" x14ac:dyDescent="0.25">
      <c r="A126" t="str">
        <f t="shared" si="2"/>
        <v>Г3064 Ф4,2</v>
      </c>
      <c r="B126" s="118" t="s">
        <v>544</v>
      </c>
      <c r="C126" s="117">
        <v>4.2</v>
      </c>
      <c r="D126" s="183">
        <v>89.6</v>
      </c>
      <c r="E126" s="119">
        <f>'13'!D53</f>
        <v>7767.0390000000007</v>
      </c>
      <c r="F126" s="119">
        <f>'13'!E53</f>
        <v>10063.315500000001</v>
      </c>
      <c r="G126" s="118" t="s">
        <v>542</v>
      </c>
      <c r="H126" s="185">
        <f t="shared" si="3"/>
        <v>0.29564374531916204</v>
      </c>
    </row>
    <row r="127" spans="1:8" x14ac:dyDescent="0.25">
      <c r="A127" t="str">
        <f t="shared" si="2"/>
        <v>Г3064 Ф4,6</v>
      </c>
      <c r="B127" s="118" t="s">
        <v>544</v>
      </c>
      <c r="C127" s="117">
        <v>4.5999999999999996</v>
      </c>
      <c r="D127" s="183">
        <v>105.5</v>
      </c>
      <c r="E127" s="119">
        <f>'13'!D54</f>
        <v>8604.2565000000013</v>
      </c>
      <c r="F127" s="119">
        <f>'13'!E54</f>
        <v>11148.0705</v>
      </c>
      <c r="G127" s="118" t="s">
        <v>542</v>
      </c>
      <c r="H127" s="185">
        <f t="shared" si="3"/>
        <v>0.29564599800110547</v>
      </c>
    </row>
    <row r="128" spans="1:8" x14ac:dyDescent="0.25">
      <c r="A128" t="str">
        <f t="shared" si="2"/>
        <v>Г3064 Ф5</v>
      </c>
      <c r="B128" s="118" t="s">
        <v>544</v>
      </c>
      <c r="C128" s="117">
        <v>5</v>
      </c>
      <c r="D128" s="183">
        <v>122</v>
      </c>
      <c r="E128" s="119">
        <f>'13'!D55</f>
        <v>9455.6385000000009</v>
      </c>
      <c r="F128" s="119">
        <f>'13'!E55</f>
        <v>12251.137500000001</v>
      </c>
      <c r="G128" s="118" t="s">
        <v>542</v>
      </c>
      <c r="H128" s="185">
        <f t="shared" si="3"/>
        <v>0.29564359931907291</v>
      </c>
    </row>
    <row r="129" spans="1:8" x14ac:dyDescent="0.25">
      <c r="A129" t="str">
        <f t="shared" si="2"/>
        <v>Г3064 Ф5,6</v>
      </c>
      <c r="B129" s="118" t="s">
        <v>544</v>
      </c>
      <c r="C129" s="117">
        <v>5.6</v>
      </c>
      <c r="D129" s="183">
        <v>159.5</v>
      </c>
      <c r="E129" s="119">
        <f>'13'!D56</f>
        <v>10388.542500000001</v>
      </c>
      <c r="F129" s="119">
        <f>'13'!E56</f>
        <v>13459.887000000001</v>
      </c>
      <c r="G129" s="118" t="s">
        <v>542</v>
      </c>
      <c r="H129" s="185">
        <f t="shared" si="3"/>
        <v>0.29564729604754447</v>
      </c>
    </row>
    <row r="130" spans="1:8" x14ac:dyDescent="0.25">
      <c r="A130" t="str">
        <f t="shared" si="2"/>
        <v>Г3064 Ф6,4</v>
      </c>
      <c r="B130" s="118" t="s">
        <v>544</v>
      </c>
      <c r="C130" s="117">
        <v>6.4</v>
      </c>
      <c r="D130" s="183">
        <v>201.5</v>
      </c>
      <c r="E130" s="119">
        <f>'13'!D57</f>
        <v>13067.355000000001</v>
      </c>
      <c r="F130" s="119">
        <f>'13'!E57</f>
        <v>16930.683000000001</v>
      </c>
      <c r="G130" s="118" t="s">
        <v>542</v>
      </c>
      <c r="H130" s="185">
        <f t="shared" si="3"/>
        <v>0.295647282866349</v>
      </c>
    </row>
    <row r="131" spans="1:8" x14ac:dyDescent="0.25">
      <c r="A131" t="str">
        <f t="shared" si="2"/>
        <v>Г3064 Ф7</v>
      </c>
      <c r="B131" s="118" t="s">
        <v>544</v>
      </c>
      <c r="C131" s="117">
        <v>7</v>
      </c>
      <c r="D131" s="183">
        <v>248.4</v>
      </c>
      <c r="E131" s="119">
        <f>'13'!D58</f>
        <v>15757.728000000001</v>
      </c>
      <c r="F131" s="119">
        <f>'13'!E58</f>
        <v>20416.441500000001</v>
      </c>
      <c r="G131" s="118" t="s">
        <v>542</v>
      </c>
      <c r="H131" s="185">
        <f t="shared" si="3"/>
        <v>0.29564626956373408</v>
      </c>
    </row>
    <row r="132" spans="1:8" x14ac:dyDescent="0.25">
      <c r="A132" t="str">
        <f t="shared" ref="A132:A195" si="4">CONCATENATE(B132," Ф",C132)</f>
        <v>Г3064 Ф7,8</v>
      </c>
      <c r="B132" s="118" t="s">
        <v>544</v>
      </c>
      <c r="C132" s="117">
        <v>7.8</v>
      </c>
      <c r="D132" s="183">
        <v>300.39999999999998</v>
      </c>
      <c r="E132" s="119">
        <f>'13'!D59</f>
        <v>19043.514000000003</v>
      </c>
      <c r="F132" s="119">
        <f>'13'!E59</f>
        <v>24673.225500000004</v>
      </c>
      <c r="G132" s="118" t="s">
        <v>542</v>
      </c>
      <c r="H132" s="185">
        <f t="shared" ref="H132:H195" si="5">IF(OR(E132=0,F132=0),0,F132/E132-1)</f>
        <v>0.29562356506262444</v>
      </c>
    </row>
    <row r="133" spans="1:8" x14ac:dyDescent="0.25">
      <c r="A133" t="str">
        <f t="shared" si="4"/>
        <v>Г3064 Ф8,5</v>
      </c>
      <c r="B133" s="118" t="s">
        <v>544</v>
      </c>
      <c r="C133" s="117">
        <v>8.5</v>
      </c>
      <c r="D133" s="183">
        <v>359</v>
      </c>
      <c r="E133" s="119">
        <f>'13'!D60</f>
        <v>22605.880499999999</v>
      </c>
      <c r="F133" s="119">
        <f>'13'!E60</f>
        <v>29289.235499999999</v>
      </c>
      <c r="G133" s="118" t="s">
        <v>542</v>
      </c>
      <c r="H133" s="185">
        <f t="shared" si="5"/>
        <v>0.29564674554481529</v>
      </c>
    </row>
    <row r="134" spans="1:8" x14ac:dyDescent="0.25">
      <c r="A134" t="str">
        <f t="shared" si="4"/>
        <v>Г3064 Ф9,2</v>
      </c>
      <c r="B134" s="118" t="s">
        <v>544</v>
      </c>
      <c r="C134" s="117">
        <v>9.1999999999999993</v>
      </c>
      <c r="D134" s="183">
        <v>421</v>
      </c>
      <c r="E134" s="119">
        <f>'13'!D61</f>
        <v>26323.395000000004</v>
      </c>
      <c r="F134" s="119">
        <f>'13'!E61</f>
        <v>34105.7955</v>
      </c>
      <c r="G134" s="118" t="s">
        <v>542</v>
      </c>
      <c r="H134" s="185">
        <f t="shared" si="5"/>
        <v>0.29564577441473627</v>
      </c>
    </row>
    <row r="135" spans="1:8" x14ac:dyDescent="0.25">
      <c r="A135" t="str">
        <f t="shared" si="4"/>
        <v>Г3064 Ф9,9</v>
      </c>
      <c r="B135" s="118" t="s">
        <v>544</v>
      </c>
      <c r="C135" s="117">
        <v>9.9</v>
      </c>
      <c r="D135" s="183">
        <v>488</v>
      </c>
      <c r="E135" s="119">
        <f>'13'!D62</f>
        <v>30437.022000000001</v>
      </c>
      <c r="F135" s="119">
        <f>'13'!E62</f>
        <v>39435.627</v>
      </c>
      <c r="G135" s="118" t="s">
        <v>542</v>
      </c>
      <c r="H135" s="185">
        <f t="shared" si="5"/>
        <v>0.29564669631608509</v>
      </c>
    </row>
    <row r="136" spans="1:8" x14ac:dyDescent="0.25">
      <c r="A136" t="str">
        <f t="shared" si="4"/>
        <v>Г3064 Ф10,5</v>
      </c>
      <c r="B136" s="118" t="s">
        <v>544</v>
      </c>
      <c r="C136" s="117">
        <v>10.5</v>
      </c>
      <c r="D136" s="183">
        <v>560</v>
      </c>
      <c r="E136" s="119">
        <f>'13'!D63</f>
        <v>34550.407500000001</v>
      </c>
      <c r="F136" s="119">
        <f>'13'!E63</f>
        <v>44772.671999999999</v>
      </c>
      <c r="G136" s="118" t="s">
        <v>542</v>
      </c>
      <c r="H136" s="185">
        <f t="shared" si="5"/>
        <v>0.29586523690060673</v>
      </c>
    </row>
    <row r="137" spans="1:8" x14ac:dyDescent="0.25">
      <c r="A137" t="str">
        <f t="shared" si="4"/>
        <v>Г3064 Ф11,5</v>
      </c>
      <c r="B137" s="118" t="s">
        <v>544</v>
      </c>
      <c r="C137" s="117">
        <v>11.5</v>
      </c>
      <c r="D137" s="183">
        <v>637</v>
      </c>
      <c r="E137" s="119">
        <f>'13'!D64</f>
        <v>38893.648500000003</v>
      </c>
      <c r="F137" s="119">
        <f>'13'!E64</f>
        <v>50392.408499999998</v>
      </c>
      <c r="G137" s="118" t="s">
        <v>542</v>
      </c>
      <c r="H137" s="185">
        <f t="shared" si="5"/>
        <v>0.29564621585964068</v>
      </c>
    </row>
    <row r="138" spans="1:8" x14ac:dyDescent="0.25">
      <c r="A138" t="str">
        <f t="shared" si="4"/>
        <v>Г3064 Ф12</v>
      </c>
      <c r="B138" s="118" t="s">
        <v>544</v>
      </c>
      <c r="C138" s="117">
        <v>12</v>
      </c>
      <c r="D138" s="183">
        <v>719</v>
      </c>
      <c r="E138" s="119">
        <f>'13'!D65</f>
        <v>43089.9735</v>
      </c>
      <c r="F138" s="119">
        <f>'13'!E65</f>
        <v>55793.325000000004</v>
      </c>
      <c r="G138" s="118" t="s">
        <v>542</v>
      </c>
      <c r="H138" s="185">
        <f t="shared" si="5"/>
        <v>0.29480991674316082</v>
      </c>
    </row>
    <row r="139" spans="1:8" x14ac:dyDescent="0.25">
      <c r="A139" t="str">
        <f t="shared" si="4"/>
        <v>Г3064 Ф12,5</v>
      </c>
      <c r="B139" s="118" t="s">
        <v>544</v>
      </c>
      <c r="C139" s="117">
        <v>12.5</v>
      </c>
      <c r="D139" s="183">
        <v>806</v>
      </c>
      <c r="E139" s="119">
        <f>'13'!D66</f>
        <v>45622.510500000004</v>
      </c>
      <c r="F139" s="119">
        <f>'13'!E66</f>
        <v>59069.534999999996</v>
      </c>
      <c r="G139" s="118" t="s">
        <v>542</v>
      </c>
      <c r="H139" s="185">
        <f t="shared" si="5"/>
        <v>0.29474538670992234</v>
      </c>
    </row>
    <row r="140" spans="1:8" x14ac:dyDescent="0.25">
      <c r="A140" t="str">
        <f t="shared" si="4"/>
        <v>Г3064 Ф14</v>
      </c>
      <c r="B140" s="118" t="s">
        <v>544</v>
      </c>
      <c r="C140" s="117">
        <v>14</v>
      </c>
      <c r="D140" s="183">
        <v>993.6</v>
      </c>
      <c r="E140" s="119">
        <f>'13'!D67</f>
        <v>55761.404999999999</v>
      </c>
      <c r="F140" s="119">
        <f>'13'!E67</f>
        <v>72196.813500000004</v>
      </c>
      <c r="G140" s="118" t="s">
        <v>542</v>
      </c>
      <c r="H140" s="185">
        <f t="shared" si="5"/>
        <v>0.2947452364229346</v>
      </c>
    </row>
    <row r="141" spans="1:8" x14ac:dyDescent="0.25">
      <c r="A141" t="str">
        <f t="shared" si="4"/>
        <v>Г3064 Ф15,5</v>
      </c>
      <c r="B141" s="118" t="s">
        <v>544</v>
      </c>
      <c r="C141" s="117">
        <v>15.5</v>
      </c>
      <c r="D141" s="183">
        <v>1200</v>
      </c>
      <c r="E141" s="119">
        <f>'13'!D68</f>
        <v>66950.761499999993</v>
      </c>
      <c r="F141" s="119">
        <f>'13'!E68</f>
        <v>86684.157000000007</v>
      </c>
      <c r="G141" s="118" t="s">
        <v>542</v>
      </c>
      <c r="H141" s="185">
        <f t="shared" si="5"/>
        <v>0.29474489995158626</v>
      </c>
    </row>
    <row r="142" spans="1:8" x14ac:dyDescent="0.25">
      <c r="A142" t="str">
        <f t="shared" si="4"/>
        <v>Г3064 Ф17</v>
      </c>
      <c r="B142" s="118" t="s">
        <v>544</v>
      </c>
      <c r="C142" s="117">
        <v>17</v>
      </c>
      <c r="D142" s="183">
        <v>1425</v>
      </c>
      <c r="E142" s="119">
        <f>'13'!D69</f>
        <v>78677.718000000008</v>
      </c>
      <c r="F142" s="119">
        <f>'13'!E69</f>
        <v>101867.6085</v>
      </c>
      <c r="G142" s="118" t="s">
        <v>542</v>
      </c>
      <c r="H142" s="185">
        <f t="shared" si="5"/>
        <v>0.29474533691991422</v>
      </c>
    </row>
    <row r="143" spans="1:8" x14ac:dyDescent="0.25">
      <c r="A143" t="str">
        <f t="shared" si="4"/>
        <v>Г3064 Ф18,5</v>
      </c>
      <c r="B143" s="118" t="s">
        <v>544</v>
      </c>
      <c r="C143" s="117">
        <v>18.5</v>
      </c>
      <c r="D143" s="183">
        <v>1685</v>
      </c>
      <c r="E143" s="119">
        <f>'13'!D70</f>
        <v>92550.024000000005</v>
      </c>
      <c r="F143" s="119">
        <f>'13'!E70</f>
        <v>119841.0255</v>
      </c>
      <c r="G143" s="118" t="s">
        <v>542</v>
      </c>
      <c r="H143" s="185">
        <f t="shared" si="5"/>
        <v>0.29487838382408205</v>
      </c>
    </row>
    <row r="144" spans="1:8" x14ac:dyDescent="0.25">
      <c r="A144" t="str">
        <f t="shared" si="4"/>
        <v>Г3064 Ф20</v>
      </c>
      <c r="B144" s="118" t="s">
        <v>544</v>
      </c>
      <c r="C144" s="117">
        <v>20</v>
      </c>
      <c r="D144" s="183">
        <v>1955</v>
      </c>
      <c r="E144" s="119">
        <f>'13'!D71</f>
        <v>103806.99</v>
      </c>
      <c r="F144" s="119">
        <f>'13'!E71</f>
        <v>134401.4595</v>
      </c>
      <c r="G144" s="118" t="s">
        <v>542</v>
      </c>
      <c r="H144" s="185">
        <f t="shared" si="5"/>
        <v>0.2947245604558999</v>
      </c>
    </row>
    <row r="145" spans="1:8" x14ac:dyDescent="0.25">
      <c r="A145" t="str">
        <f t="shared" si="4"/>
        <v>Г3064 Ф21</v>
      </c>
      <c r="B145" s="118" t="s">
        <v>544</v>
      </c>
      <c r="C145" s="117">
        <v>21</v>
      </c>
      <c r="D145" s="183">
        <v>2240</v>
      </c>
      <c r="E145" s="119">
        <f>'13'!D72</f>
        <v>114347.625</v>
      </c>
      <c r="F145" s="119">
        <f>'13'!E72</f>
        <v>148051.03949999998</v>
      </c>
      <c r="G145" s="118" t="s">
        <v>542</v>
      </c>
      <c r="H145" s="185">
        <f t="shared" si="5"/>
        <v>0.29474520786942437</v>
      </c>
    </row>
    <row r="146" spans="1:8" x14ac:dyDescent="0.25">
      <c r="A146" t="str">
        <f t="shared" si="4"/>
        <v>Г3064 Ф22,5</v>
      </c>
      <c r="B146" s="118" t="s">
        <v>544</v>
      </c>
      <c r="C146" s="117">
        <v>22.5</v>
      </c>
      <c r="D146" s="183">
        <v>2550</v>
      </c>
      <c r="E146" s="119">
        <f>'13'!D73</f>
        <v>129412.09050000001</v>
      </c>
      <c r="F146" s="119">
        <f>'13'!E73</f>
        <v>167555.71350000001</v>
      </c>
      <c r="G146" s="118" t="s">
        <v>542</v>
      </c>
      <c r="H146" s="185">
        <f t="shared" si="5"/>
        <v>0.29474543570563827</v>
      </c>
    </row>
    <row r="147" spans="1:8" x14ac:dyDescent="0.25">
      <c r="A147" t="str">
        <f t="shared" si="4"/>
        <v>Г3064 Ф27</v>
      </c>
      <c r="B147" s="118" t="s">
        <v>544</v>
      </c>
      <c r="C147" s="117">
        <v>27</v>
      </c>
      <c r="D147" s="183">
        <v>3590</v>
      </c>
      <c r="E147" s="119">
        <f>'13'!D75</f>
        <v>180600.9135</v>
      </c>
      <c r="F147" s="119">
        <f>'13'!E75</f>
        <v>233835.99750000003</v>
      </c>
      <c r="G147" s="118" t="s">
        <v>542</v>
      </c>
      <c r="H147" s="185">
        <f t="shared" si="5"/>
        <v>0.29476641600708198</v>
      </c>
    </row>
    <row r="148" spans="1:8" x14ac:dyDescent="0.25">
      <c r="A148" t="str">
        <f t="shared" si="4"/>
        <v>Г3066 Ф1,9</v>
      </c>
      <c r="B148" s="118" t="s">
        <v>545</v>
      </c>
      <c r="C148" s="117">
        <v>1.9</v>
      </c>
      <c r="D148" s="183">
        <v>14.3</v>
      </c>
      <c r="E148" s="119">
        <f>'14'!D7</f>
        <v>7179.3435000000009</v>
      </c>
      <c r="F148" s="119">
        <f>'14'!E7</f>
        <v>9347.3100000000013</v>
      </c>
      <c r="G148" s="118" t="s">
        <v>538</v>
      </c>
      <c r="H148" s="185">
        <f t="shared" si="5"/>
        <v>0.30197280573077467</v>
      </c>
    </row>
    <row r="149" spans="1:8" x14ac:dyDescent="0.25">
      <c r="A149" t="str">
        <f t="shared" si="4"/>
        <v>Г3066 Ф2</v>
      </c>
      <c r="B149" s="118" t="s">
        <v>545</v>
      </c>
      <c r="C149" s="117">
        <v>2</v>
      </c>
      <c r="D149" s="183">
        <v>17.3</v>
      </c>
      <c r="E149" s="119">
        <f>'14'!D8</f>
        <v>7406.0910000000003</v>
      </c>
      <c r="F149" s="119">
        <f>'14'!E8</f>
        <v>9603.6989999999987</v>
      </c>
      <c r="G149" s="118" t="s">
        <v>538</v>
      </c>
      <c r="H149" s="185">
        <f t="shared" si="5"/>
        <v>0.29672981333877724</v>
      </c>
    </row>
    <row r="150" spans="1:8" x14ac:dyDescent="0.25">
      <c r="A150" t="str">
        <f t="shared" si="4"/>
        <v>Г3066 Ф2,2</v>
      </c>
      <c r="B150" s="118" t="s">
        <v>545</v>
      </c>
      <c r="C150" s="117">
        <v>2.2000000000000002</v>
      </c>
      <c r="D150" s="183">
        <v>20.6</v>
      </c>
      <c r="E150" s="119">
        <f>'14'!D9</f>
        <v>7408.5690000000004</v>
      </c>
      <c r="F150" s="119">
        <f>'14'!E9</f>
        <v>9725.7824999999993</v>
      </c>
      <c r="G150" s="118" t="s">
        <v>538</v>
      </c>
      <c r="H150" s="185">
        <f t="shared" si="5"/>
        <v>0.31277477472370152</v>
      </c>
    </row>
    <row r="151" spans="1:8" x14ac:dyDescent="0.25">
      <c r="A151" t="str">
        <f t="shared" si="4"/>
        <v>Г3066 Ф2,4</v>
      </c>
      <c r="B151" s="118" t="s">
        <v>545</v>
      </c>
      <c r="C151" s="117">
        <v>2.4</v>
      </c>
      <c r="D151" s="183">
        <v>24.2</v>
      </c>
      <c r="E151" s="119">
        <f>'14'!D10</f>
        <v>7627.893</v>
      </c>
      <c r="F151" s="119">
        <f>'14'!E10</f>
        <v>9977.2785000000003</v>
      </c>
      <c r="G151" s="118" t="s">
        <v>538</v>
      </c>
      <c r="H151" s="185">
        <f t="shared" si="5"/>
        <v>0.30799927319379017</v>
      </c>
    </row>
    <row r="152" spans="1:8" x14ac:dyDescent="0.25">
      <c r="A152" t="str">
        <f t="shared" si="4"/>
        <v>Г3066 Ф2,6</v>
      </c>
      <c r="B152" s="118" t="s">
        <v>545</v>
      </c>
      <c r="C152" s="117">
        <v>2.6</v>
      </c>
      <c r="D152" s="183">
        <v>28</v>
      </c>
      <c r="E152" s="119">
        <f>'14'!D11</f>
        <v>7748.6640000000007</v>
      </c>
      <c r="F152" s="119">
        <f>'14'!E11</f>
        <v>10148.228999999999</v>
      </c>
      <c r="G152" s="118" t="s">
        <v>538</v>
      </c>
      <c r="H152" s="185">
        <f t="shared" si="5"/>
        <v>0.30967467424061734</v>
      </c>
    </row>
    <row r="153" spans="1:8" x14ac:dyDescent="0.25">
      <c r="A153" t="str">
        <f t="shared" si="4"/>
        <v>Г3066 Ф2,8</v>
      </c>
      <c r="B153" s="118" t="s">
        <v>545</v>
      </c>
      <c r="C153" s="117">
        <v>2.8</v>
      </c>
      <c r="D153" s="183">
        <v>32</v>
      </c>
      <c r="E153" s="119">
        <f>'14'!D12</f>
        <v>7780.7205000000004</v>
      </c>
      <c r="F153" s="119">
        <f>'14'!E12</f>
        <v>10328.9025</v>
      </c>
      <c r="G153" s="118" t="s">
        <v>538</v>
      </c>
      <c r="H153" s="185">
        <f t="shared" si="5"/>
        <v>0.32749949056774375</v>
      </c>
    </row>
    <row r="154" spans="1:8" x14ac:dyDescent="0.25">
      <c r="A154" t="str">
        <f t="shared" si="4"/>
        <v>Г3066 Ф3,1</v>
      </c>
      <c r="B154" s="118" t="s">
        <v>545</v>
      </c>
      <c r="C154" s="117">
        <v>3.1</v>
      </c>
      <c r="D154" s="183">
        <v>41.1</v>
      </c>
      <c r="E154" s="119">
        <f>'14'!D13</f>
        <v>8093.7255000000005</v>
      </c>
      <c r="F154" s="119">
        <f>'14'!E13</f>
        <v>10800.184499999999</v>
      </c>
      <c r="G154" s="118" t="s">
        <v>538</v>
      </c>
      <c r="H154" s="185">
        <f t="shared" si="5"/>
        <v>0.33438976896362482</v>
      </c>
    </row>
    <row r="155" spans="1:8" x14ac:dyDescent="0.25">
      <c r="A155" t="str">
        <f t="shared" si="4"/>
        <v>Г3066 Ф3,5</v>
      </c>
      <c r="B155" s="118" t="s">
        <v>545</v>
      </c>
      <c r="C155" s="117">
        <v>3.5</v>
      </c>
      <c r="D155" s="183">
        <v>51.2</v>
      </c>
      <c r="E155" s="119">
        <f>'14'!D14</f>
        <v>8574.3209999999999</v>
      </c>
      <c r="F155" s="119">
        <f>'14'!E14</f>
        <v>11354.479500000001</v>
      </c>
      <c r="G155" s="118" t="s">
        <v>538</v>
      </c>
      <c r="H155" s="185">
        <f t="shared" si="5"/>
        <v>0.32424240939894844</v>
      </c>
    </row>
    <row r="156" spans="1:8" x14ac:dyDescent="0.25">
      <c r="A156" t="str">
        <f t="shared" si="4"/>
        <v>Г3066 Ф3,8</v>
      </c>
      <c r="B156" s="118" t="s">
        <v>545</v>
      </c>
      <c r="C156" s="117">
        <v>3.8</v>
      </c>
      <c r="D156" s="183">
        <v>58</v>
      </c>
      <c r="E156" s="119">
        <f>'14'!D15</f>
        <v>8690.1465000000007</v>
      </c>
      <c r="F156" s="119">
        <f>'14'!E15</f>
        <v>11610.8685</v>
      </c>
      <c r="G156" s="118" t="s">
        <v>538</v>
      </c>
      <c r="H156" s="185">
        <f t="shared" si="5"/>
        <v>0.33609582991495013</v>
      </c>
    </row>
    <row r="157" spans="1:8" x14ac:dyDescent="0.25">
      <c r="A157" t="str">
        <f t="shared" si="4"/>
        <v>Г3066 Ф4,2</v>
      </c>
      <c r="B157" s="118" t="s">
        <v>545</v>
      </c>
      <c r="C157" s="117">
        <v>4.2</v>
      </c>
      <c r="D157" s="183">
        <v>72</v>
      </c>
      <c r="E157" s="119">
        <f>'14'!D16</f>
        <v>9471.2520000000004</v>
      </c>
      <c r="F157" s="119">
        <f>'14'!E16</f>
        <v>12377.589</v>
      </c>
      <c r="G157" s="118" t="s">
        <v>538</v>
      </c>
      <c r="H157" s="185">
        <f t="shared" si="5"/>
        <v>0.30685879754862389</v>
      </c>
    </row>
    <row r="158" spans="1:8" x14ac:dyDescent="0.25">
      <c r="A158" t="str">
        <f t="shared" si="4"/>
        <v>Г3066 Ф4,6</v>
      </c>
      <c r="B158" s="118" t="s">
        <v>545</v>
      </c>
      <c r="C158" s="117">
        <v>4.5999999999999996</v>
      </c>
      <c r="D158" s="183">
        <v>90</v>
      </c>
      <c r="E158" s="119">
        <f>'14'!D17</f>
        <v>9770.6280000000006</v>
      </c>
      <c r="F158" s="119">
        <f>'14'!E17</f>
        <v>13092.586499999999</v>
      </c>
      <c r="G158" s="118" t="s">
        <v>538</v>
      </c>
      <c r="H158" s="185">
        <f t="shared" si="5"/>
        <v>0.33999436883688516</v>
      </c>
    </row>
    <row r="159" spans="1:8" x14ac:dyDescent="0.25">
      <c r="A159" t="str">
        <f t="shared" si="4"/>
        <v>Г3066 Ф5,6</v>
      </c>
      <c r="B159" s="118" t="s">
        <v>545</v>
      </c>
      <c r="C159" s="117">
        <v>5.6</v>
      </c>
      <c r="D159" s="183">
        <v>129</v>
      </c>
      <c r="E159" s="119">
        <f>'14'!D18</f>
        <v>12129.5265</v>
      </c>
      <c r="F159" s="119">
        <f>'14'!E18</f>
        <v>16446.653999999999</v>
      </c>
      <c r="G159" s="118" t="s">
        <v>538</v>
      </c>
      <c r="H159" s="185">
        <f t="shared" si="5"/>
        <v>0.35591888108740255</v>
      </c>
    </row>
    <row r="160" spans="1:8" x14ac:dyDescent="0.25">
      <c r="A160" t="str">
        <f t="shared" si="4"/>
        <v>Г3066 Ф6,4</v>
      </c>
      <c r="B160" s="118" t="s">
        <v>545</v>
      </c>
      <c r="C160" s="117">
        <v>6.4</v>
      </c>
      <c r="D160" s="183">
        <v>175</v>
      </c>
      <c r="E160" s="119">
        <f>'14'!D19</f>
        <v>12730.284</v>
      </c>
      <c r="F160" s="119">
        <f>'14'!E19</f>
        <v>17206.686000000002</v>
      </c>
      <c r="G160" s="118" t="s">
        <v>538</v>
      </c>
      <c r="H160" s="185">
        <f t="shared" si="5"/>
        <v>0.35163410337114254</v>
      </c>
    </row>
    <row r="161" spans="1:8" x14ac:dyDescent="0.25">
      <c r="A161" t="str">
        <f t="shared" si="4"/>
        <v>Г3066 Ф7,4</v>
      </c>
      <c r="B161" s="118" t="s">
        <v>545</v>
      </c>
      <c r="C161" s="117">
        <v>7.4</v>
      </c>
      <c r="D161" s="183">
        <v>228</v>
      </c>
      <c r="E161" s="119">
        <f>'14'!D20</f>
        <v>16302.300000000001</v>
      </c>
      <c r="F161" s="119">
        <f>'14'!E20</f>
        <v>21117.694500000001</v>
      </c>
      <c r="G161" s="118" t="s">
        <v>538</v>
      </c>
      <c r="H161" s="185">
        <f t="shared" si="5"/>
        <v>0.29538129589076378</v>
      </c>
    </row>
    <row r="162" spans="1:8" x14ac:dyDescent="0.25">
      <c r="A162" t="str">
        <f t="shared" si="4"/>
        <v>Г3066 Ф8,2</v>
      </c>
      <c r="B162" s="118" t="s">
        <v>545</v>
      </c>
      <c r="C162" s="117">
        <v>8.1999999999999993</v>
      </c>
      <c r="D162" s="183">
        <v>288</v>
      </c>
      <c r="E162" s="119">
        <f>'14'!D21</f>
        <v>18438.745500000001</v>
      </c>
      <c r="F162" s="119">
        <f>'14'!E21</f>
        <v>23884.434000000001</v>
      </c>
      <c r="G162" s="118" t="s">
        <v>538</v>
      </c>
      <c r="H162" s="185">
        <f t="shared" si="5"/>
        <v>0.29533942534214153</v>
      </c>
    </row>
    <row r="163" spans="1:8" x14ac:dyDescent="0.25">
      <c r="A163" t="str">
        <f t="shared" si="4"/>
        <v>Г3066 Ф9,2</v>
      </c>
      <c r="B163" s="118" t="s">
        <v>545</v>
      </c>
      <c r="C163" s="117">
        <v>9.1999999999999993</v>
      </c>
      <c r="D163" s="183">
        <v>360</v>
      </c>
      <c r="E163" s="119">
        <f>'14'!D22</f>
        <v>21360.570000000003</v>
      </c>
      <c r="F163" s="119">
        <f>'14'!E22</f>
        <v>27669.715500000002</v>
      </c>
      <c r="G163" s="118" t="s">
        <v>538</v>
      </c>
      <c r="H163" s="185">
        <f t="shared" si="5"/>
        <v>0.29536409842995748</v>
      </c>
    </row>
    <row r="164" spans="1:8" x14ac:dyDescent="0.25">
      <c r="A164" t="str">
        <f t="shared" si="4"/>
        <v>Г3066 Ф10</v>
      </c>
      <c r="B164" s="118" t="s">
        <v>545</v>
      </c>
      <c r="C164" s="117">
        <v>10</v>
      </c>
      <c r="D164" s="183">
        <v>435</v>
      </c>
      <c r="E164" s="119">
        <f>'14'!D23</f>
        <v>25131.813000000002</v>
      </c>
      <c r="F164" s="119">
        <f>'14'!E23</f>
        <v>32536.570500000002</v>
      </c>
      <c r="G164" s="118" t="s">
        <v>538</v>
      </c>
      <c r="H164" s="185">
        <f t="shared" si="5"/>
        <v>0.29463682146608372</v>
      </c>
    </row>
    <row r="165" spans="1:8" x14ac:dyDescent="0.25">
      <c r="A165" t="str">
        <f t="shared" si="4"/>
        <v>Г3066 Ф11</v>
      </c>
      <c r="B165" s="118" t="s">
        <v>545</v>
      </c>
      <c r="C165" s="117">
        <v>11</v>
      </c>
      <c r="D165" s="183">
        <v>516</v>
      </c>
      <c r="E165" s="119">
        <f>'14'!D24</f>
        <v>29477.070000000003</v>
      </c>
      <c r="F165" s="119">
        <f>'14'!E24</f>
        <v>38175.931499999999</v>
      </c>
      <c r="G165" s="118" t="s">
        <v>538</v>
      </c>
      <c r="H165" s="185">
        <f t="shared" si="5"/>
        <v>0.2951060434432593</v>
      </c>
    </row>
    <row r="166" spans="1:8" x14ac:dyDescent="0.25">
      <c r="A166" t="str">
        <f t="shared" si="4"/>
        <v>Г3066 Ф12</v>
      </c>
      <c r="B166" s="118" t="s">
        <v>545</v>
      </c>
      <c r="C166" s="117">
        <v>12</v>
      </c>
      <c r="D166" s="183">
        <v>604</v>
      </c>
      <c r="E166" s="119">
        <f>'14'!D25</f>
        <v>34446.426000000007</v>
      </c>
      <c r="F166" s="119">
        <f>'14'!E25</f>
        <v>44627.037000000004</v>
      </c>
      <c r="G166" s="118" t="s">
        <v>538</v>
      </c>
      <c r="H166" s="185">
        <f t="shared" si="5"/>
        <v>0.2955491231514118</v>
      </c>
    </row>
    <row r="167" spans="1:8" x14ac:dyDescent="0.25">
      <c r="A167" t="str">
        <f t="shared" si="4"/>
        <v>Г3066 Ф13</v>
      </c>
      <c r="B167" s="118" t="s">
        <v>545</v>
      </c>
      <c r="C167" s="117">
        <v>13</v>
      </c>
      <c r="D167" s="183">
        <v>699.5</v>
      </c>
      <c r="E167" s="119">
        <f>'14'!D26</f>
        <v>41791.722000000002</v>
      </c>
      <c r="F167" s="119">
        <f>'14'!E26</f>
        <v>54106.069499999998</v>
      </c>
      <c r="G167" s="118" t="s">
        <v>538</v>
      </c>
      <c r="H167" s="185">
        <f t="shared" si="5"/>
        <v>0.29465996878520584</v>
      </c>
    </row>
    <row r="168" spans="1:8" x14ac:dyDescent="0.25">
      <c r="A168" t="str">
        <f t="shared" si="4"/>
        <v>Г3066 Ф14</v>
      </c>
      <c r="B168" s="118" t="s">
        <v>545</v>
      </c>
      <c r="C168" s="117">
        <v>14</v>
      </c>
      <c r="D168" s="183">
        <v>802</v>
      </c>
      <c r="E168" s="119">
        <f>'14'!D27</f>
        <v>47442.906000000003</v>
      </c>
      <c r="F168" s="119">
        <f>'14'!E27</f>
        <v>61466.821500000005</v>
      </c>
      <c r="G168" s="118" t="s">
        <v>538</v>
      </c>
      <c r="H168" s="185">
        <f t="shared" si="5"/>
        <v>0.29559562603521794</v>
      </c>
    </row>
    <row r="169" spans="1:8" x14ac:dyDescent="0.25">
      <c r="A169" t="str">
        <f t="shared" si="4"/>
        <v>Г3066 Ф15</v>
      </c>
      <c r="B169" s="118" t="s">
        <v>545</v>
      </c>
      <c r="C169" s="117">
        <v>15</v>
      </c>
      <c r="D169" s="183">
        <v>911</v>
      </c>
      <c r="E169" s="119">
        <f>'14'!D28</f>
        <v>49344.655500000008</v>
      </c>
      <c r="F169" s="119">
        <f>'14'!E28</f>
        <v>63937.198500000006</v>
      </c>
      <c r="G169" s="118" t="s">
        <v>538</v>
      </c>
      <c r="H169" s="185">
        <f t="shared" si="5"/>
        <v>0.29572692021327396</v>
      </c>
    </row>
    <row r="170" spans="1:8" x14ac:dyDescent="0.25">
      <c r="A170" t="str">
        <f t="shared" si="4"/>
        <v>Г3066 Ф15,5</v>
      </c>
      <c r="B170" s="118" t="s">
        <v>545</v>
      </c>
      <c r="C170" s="117">
        <v>15.5</v>
      </c>
      <c r="D170" s="183">
        <v>1030</v>
      </c>
      <c r="E170" s="119">
        <f>'14'!D29</f>
        <v>56319.669000000002</v>
      </c>
      <c r="F170" s="119">
        <f>'14'!E29</f>
        <v>72976.386000000013</v>
      </c>
      <c r="G170" s="118" t="s">
        <v>538</v>
      </c>
      <c r="H170" s="185">
        <f t="shared" si="5"/>
        <v>0.29575310536715005</v>
      </c>
    </row>
    <row r="171" spans="1:8" x14ac:dyDescent="0.25">
      <c r="A171" t="str">
        <f t="shared" si="4"/>
        <v>Г3066 Ф16,5</v>
      </c>
      <c r="B171" s="118" t="s">
        <v>545</v>
      </c>
      <c r="C171" s="117">
        <v>16.5</v>
      </c>
      <c r="D171" s="183">
        <v>1150</v>
      </c>
      <c r="E171" s="119">
        <f>'14'!D30</f>
        <v>61737.9735</v>
      </c>
      <c r="F171" s="119">
        <f>'14'!E30</f>
        <v>79979.119500000001</v>
      </c>
      <c r="G171" s="118" t="s">
        <v>538</v>
      </c>
      <c r="H171" s="185">
        <f t="shared" si="5"/>
        <v>0.29546071835351051</v>
      </c>
    </row>
    <row r="172" spans="1:8" x14ac:dyDescent="0.25">
      <c r="A172" t="str">
        <f t="shared" si="4"/>
        <v>Г3066 Ф18,5</v>
      </c>
      <c r="B172" s="118" t="s">
        <v>545</v>
      </c>
      <c r="C172" s="117">
        <v>18.5</v>
      </c>
      <c r="D172" s="183">
        <v>1441</v>
      </c>
      <c r="E172" s="119">
        <f>'14'!D31</f>
        <v>75654.064500000008</v>
      </c>
      <c r="F172" s="119">
        <f>'14'!E31</f>
        <v>98035.150500000003</v>
      </c>
      <c r="G172" s="118" t="s">
        <v>538</v>
      </c>
      <c r="H172" s="185">
        <f t="shared" si="5"/>
        <v>0.29583454832092992</v>
      </c>
    </row>
    <row r="173" spans="1:8" x14ac:dyDescent="0.25">
      <c r="A173" t="str">
        <f t="shared" si="4"/>
        <v>Г3066 Ф20</v>
      </c>
      <c r="B173" s="118" t="s">
        <v>545</v>
      </c>
      <c r="C173" s="117">
        <v>20</v>
      </c>
      <c r="D173" s="183">
        <v>1739</v>
      </c>
      <c r="E173" s="119">
        <f>'14'!D32</f>
        <v>86316.856500000009</v>
      </c>
      <c r="F173" s="119">
        <f>'14'!E32</f>
        <v>111826.89000000001</v>
      </c>
      <c r="G173" s="118" t="s">
        <v>538</v>
      </c>
      <c r="H173" s="185">
        <f t="shared" si="5"/>
        <v>0.29553941761074221</v>
      </c>
    </row>
    <row r="174" spans="1:8" x14ac:dyDescent="0.25">
      <c r="A174" t="str">
        <f t="shared" si="4"/>
        <v>Г3066 Ф22</v>
      </c>
      <c r="B174" s="118" t="s">
        <v>545</v>
      </c>
      <c r="C174" s="117">
        <v>22</v>
      </c>
      <c r="D174" s="183">
        <v>2065</v>
      </c>
      <c r="E174" s="119">
        <f>'14'!D33</f>
        <v>106365.9765</v>
      </c>
      <c r="F174" s="119">
        <f>'14'!E33</f>
        <v>137766.18450000003</v>
      </c>
      <c r="G174" s="118" t="s">
        <v>538</v>
      </c>
      <c r="H174" s="185">
        <f t="shared" si="5"/>
        <v>0.29520913578977037</v>
      </c>
    </row>
    <row r="175" spans="1:8" x14ac:dyDescent="0.25">
      <c r="A175" t="str">
        <f t="shared" si="4"/>
        <v>Г3066 Ф24</v>
      </c>
      <c r="B175" s="118" t="s">
        <v>545</v>
      </c>
      <c r="C175" s="117">
        <v>24</v>
      </c>
      <c r="D175" s="183">
        <v>2420</v>
      </c>
      <c r="E175" s="119">
        <f>'14'!D34</f>
        <v>119148.84450000001</v>
      </c>
      <c r="F175" s="119">
        <f>'14'!E34</f>
        <v>154367.71350000001</v>
      </c>
      <c r="G175" s="118" t="s">
        <v>538</v>
      </c>
      <c r="H175" s="185">
        <f t="shared" si="5"/>
        <v>0.29558716366737414</v>
      </c>
    </row>
    <row r="176" spans="1:8" x14ac:dyDescent="0.25">
      <c r="A176" t="str">
        <f t="shared" si="4"/>
        <v>Г3066 Ф26</v>
      </c>
      <c r="B176" s="118" t="s">
        <v>545</v>
      </c>
      <c r="C176" s="117">
        <v>26</v>
      </c>
      <c r="D176" s="183">
        <v>2800</v>
      </c>
      <c r="E176" s="119">
        <f>'14'!D35</f>
        <v>137146.23300000001</v>
      </c>
      <c r="F176" s="119">
        <f>'14'!E35</f>
        <v>177643.88250000001</v>
      </c>
      <c r="G176" s="118" t="s">
        <v>538</v>
      </c>
      <c r="H176" s="185">
        <f t="shared" si="5"/>
        <v>0.29528809223655461</v>
      </c>
    </row>
    <row r="177" spans="1:8" x14ac:dyDescent="0.25">
      <c r="A177" t="str">
        <f t="shared" si="4"/>
        <v>Г3066 Ф27,5</v>
      </c>
      <c r="B177" s="118" t="s">
        <v>545</v>
      </c>
      <c r="C177" s="117">
        <v>27.5</v>
      </c>
      <c r="D177" s="183">
        <v>3210</v>
      </c>
      <c r="E177" s="119">
        <f>'14'!D36</f>
        <v>156617.33850000001</v>
      </c>
      <c r="F177" s="119">
        <f>'14'!E36</f>
        <v>202761.783</v>
      </c>
      <c r="G177" s="118" t="s">
        <v>538</v>
      </c>
      <c r="H177" s="185">
        <f t="shared" si="5"/>
        <v>0.2946317753956722</v>
      </c>
    </row>
    <row r="178" spans="1:8" x14ac:dyDescent="0.25">
      <c r="A178" t="str">
        <f t="shared" si="4"/>
        <v>Г3067 Ф3,1</v>
      </c>
      <c r="B178" s="118" t="s">
        <v>546</v>
      </c>
      <c r="C178" s="117">
        <v>3.1</v>
      </c>
      <c r="D178" s="183">
        <v>37.799999999999997</v>
      </c>
      <c r="E178" s="119">
        <f>'14'!D43</f>
        <v>10626.5985</v>
      </c>
      <c r="F178" s="119">
        <f>'14'!E43</f>
        <v>13757.961000000001</v>
      </c>
      <c r="G178" s="118" t="s">
        <v>538</v>
      </c>
      <c r="H178" s="185">
        <f t="shared" si="5"/>
        <v>0.29467213803175119</v>
      </c>
    </row>
    <row r="179" spans="1:8" x14ac:dyDescent="0.25">
      <c r="A179" t="str">
        <f t="shared" si="4"/>
        <v>Г3067 Ф3,4</v>
      </c>
      <c r="B179" s="118" t="s">
        <v>546</v>
      </c>
      <c r="C179" s="117">
        <v>3.4</v>
      </c>
      <c r="D179" s="183">
        <v>45.7</v>
      </c>
      <c r="E179" s="119">
        <f>'14'!D44</f>
        <v>10712.6145</v>
      </c>
      <c r="F179" s="119">
        <f>'14'!E44</f>
        <v>13869.344999999999</v>
      </c>
      <c r="G179" s="118" t="s">
        <v>538</v>
      </c>
      <c r="H179" s="185">
        <f t="shared" si="5"/>
        <v>0.29467414327286767</v>
      </c>
    </row>
    <row r="180" spans="1:8" x14ac:dyDescent="0.25">
      <c r="A180" t="str">
        <f t="shared" si="4"/>
        <v>Г3067 Ф3,7</v>
      </c>
      <c r="B180" s="118" t="s">
        <v>546</v>
      </c>
      <c r="C180" s="117">
        <v>3.7</v>
      </c>
      <c r="D180" s="183">
        <v>54.4</v>
      </c>
      <c r="E180" s="119">
        <f>'14'!D45</f>
        <v>11161.762500000001</v>
      </c>
      <c r="F180" s="119">
        <f>'14'!E45</f>
        <v>14450.845499999999</v>
      </c>
      <c r="G180" s="118" t="s">
        <v>538</v>
      </c>
      <c r="H180" s="185">
        <f t="shared" si="5"/>
        <v>0.29467416100279853</v>
      </c>
    </row>
    <row r="181" spans="1:8" x14ac:dyDescent="0.25">
      <c r="A181" t="str">
        <f t="shared" si="4"/>
        <v>Г3067 Ф4</v>
      </c>
      <c r="B181" s="118" t="s">
        <v>546</v>
      </c>
      <c r="C181" s="117">
        <v>4</v>
      </c>
      <c r="D181" s="183">
        <v>63.9</v>
      </c>
      <c r="E181" s="119">
        <f>'14'!D46</f>
        <v>11750.4555</v>
      </c>
      <c r="F181" s="119">
        <f>'14'!E46</f>
        <v>15212.9985</v>
      </c>
      <c r="G181" s="118" t="s">
        <v>538</v>
      </c>
      <c r="H181" s="185">
        <f t="shared" si="5"/>
        <v>0.29467308735393272</v>
      </c>
    </row>
    <row r="182" spans="1:8" x14ac:dyDescent="0.25">
      <c r="A182" t="str">
        <f t="shared" si="4"/>
        <v>Г3067 Ф4,3</v>
      </c>
      <c r="B182" s="118" t="s">
        <v>546</v>
      </c>
      <c r="C182" s="117">
        <v>4.3</v>
      </c>
      <c r="D182" s="183">
        <v>74.099999999999994</v>
      </c>
      <c r="E182" s="119">
        <f>'14'!D47</f>
        <v>11536.6965</v>
      </c>
      <c r="F182" s="119">
        <f>'14'!E47</f>
        <v>14936.25</v>
      </c>
      <c r="G182" s="118" t="s">
        <v>538</v>
      </c>
      <c r="H182" s="185">
        <f t="shared" si="5"/>
        <v>0.29467304613586731</v>
      </c>
    </row>
    <row r="183" spans="1:8" x14ac:dyDescent="0.25">
      <c r="A183" t="str">
        <f t="shared" si="4"/>
        <v>Г3067 Ф4,6</v>
      </c>
      <c r="B183" s="118" t="s">
        <v>546</v>
      </c>
      <c r="C183" s="117">
        <v>4.5999999999999996</v>
      </c>
      <c r="D183" s="183">
        <v>85</v>
      </c>
      <c r="E183" s="119">
        <f>'14'!D48</f>
        <v>11817.319500000001</v>
      </c>
      <c r="F183" s="119">
        <f>'14'!E48</f>
        <v>15299.602499999999</v>
      </c>
      <c r="G183" s="118" t="s">
        <v>538</v>
      </c>
      <c r="H183" s="185">
        <f t="shared" si="5"/>
        <v>0.29467621654809251</v>
      </c>
    </row>
    <row r="184" spans="1:8" x14ac:dyDescent="0.25">
      <c r="A184" t="str">
        <f t="shared" si="4"/>
        <v>Г3067 Ф5,2</v>
      </c>
      <c r="B184" s="118" t="s">
        <v>546</v>
      </c>
      <c r="C184" s="117">
        <v>5.2</v>
      </c>
      <c r="D184" s="183">
        <v>109</v>
      </c>
      <c r="E184" s="119">
        <f>'14'!D49</f>
        <v>13198.164000000001</v>
      </c>
      <c r="F184" s="119">
        <f>'14'!E49</f>
        <v>17087.322</v>
      </c>
      <c r="G184" s="118" t="s">
        <v>538</v>
      </c>
      <c r="H184" s="185">
        <f t="shared" si="5"/>
        <v>0.29467416831613846</v>
      </c>
    </row>
    <row r="185" spans="1:8" x14ac:dyDescent="0.25">
      <c r="A185" t="str">
        <f t="shared" si="4"/>
        <v>Г3067 Ф5,8</v>
      </c>
      <c r="B185" s="118" t="s">
        <v>546</v>
      </c>
      <c r="C185" s="117">
        <v>5.8</v>
      </c>
      <c r="D185" s="183">
        <v>136.5</v>
      </c>
      <c r="E185" s="119">
        <f>'14'!D50</f>
        <v>15461.313</v>
      </c>
      <c r="F185" s="119">
        <f>'14'!E50</f>
        <v>20017.368000000002</v>
      </c>
      <c r="G185" s="118" t="s">
        <v>538</v>
      </c>
      <c r="H185" s="185">
        <f t="shared" si="5"/>
        <v>0.294674520850849</v>
      </c>
    </row>
    <row r="186" spans="1:8" x14ac:dyDescent="0.25">
      <c r="A186" t="str">
        <f t="shared" si="4"/>
        <v>Г3067 Ф6,2</v>
      </c>
      <c r="B186" s="118" t="s">
        <v>546</v>
      </c>
      <c r="C186" s="117">
        <v>6.2</v>
      </c>
      <c r="D186" s="183">
        <v>152</v>
      </c>
      <c r="E186" s="119">
        <f>'14'!D51</f>
        <v>15658.251000000002</v>
      </c>
      <c r="F186" s="119">
        <f>'14'!E51</f>
        <v>20272.318500000001</v>
      </c>
      <c r="G186" s="118" t="s">
        <v>538</v>
      </c>
      <c r="H186" s="185">
        <f t="shared" si="5"/>
        <v>0.29467323649365418</v>
      </c>
    </row>
    <row r="187" spans="1:8" x14ac:dyDescent="0.25">
      <c r="A187" t="str">
        <f t="shared" si="4"/>
        <v>Г3067 Ф7,6</v>
      </c>
      <c r="B187" s="118" t="s">
        <v>546</v>
      </c>
      <c r="C187" s="117">
        <v>7.6</v>
      </c>
      <c r="D187" s="183">
        <v>237</v>
      </c>
      <c r="E187" s="119">
        <f>'14'!D52</f>
        <v>20979.525000000001</v>
      </c>
      <c r="F187" s="119">
        <f>'14'!E52</f>
        <v>27161.620500000001</v>
      </c>
      <c r="G187" s="118" t="s">
        <v>538</v>
      </c>
      <c r="H187" s="185">
        <f t="shared" si="5"/>
        <v>0.29467280598583612</v>
      </c>
    </row>
    <row r="188" spans="1:8" x14ac:dyDescent="0.25">
      <c r="A188" t="str">
        <f t="shared" si="4"/>
        <v>Г3067 Ф8,4</v>
      </c>
      <c r="B188" s="118" t="s">
        <v>546</v>
      </c>
      <c r="C188" s="117">
        <v>8.4</v>
      </c>
      <c r="D188" s="183">
        <v>286.5</v>
      </c>
      <c r="E188" s="119">
        <f>'14'!D53</f>
        <v>22347.99</v>
      </c>
      <c r="F188" s="119">
        <f>'14'!E53</f>
        <v>28933.369500000001</v>
      </c>
      <c r="G188" s="118" t="s">
        <v>538</v>
      </c>
      <c r="H188" s="185">
        <f t="shared" si="5"/>
        <v>0.29467435326398483</v>
      </c>
    </row>
    <row r="189" spans="1:8" x14ac:dyDescent="0.25">
      <c r="A189" t="str">
        <f t="shared" si="4"/>
        <v>Г3067 Ф9,2</v>
      </c>
      <c r="B189" s="118" t="s">
        <v>546</v>
      </c>
      <c r="C189" s="117">
        <v>9.1999999999999993</v>
      </c>
      <c r="D189" s="183">
        <v>340.5</v>
      </c>
      <c r="E189" s="119">
        <f>'14'!D54</f>
        <v>24484.162500000002</v>
      </c>
      <c r="F189" s="119">
        <f>'14'!E54</f>
        <v>31699.017000000003</v>
      </c>
      <c r="G189" s="118" t="s">
        <v>538</v>
      </c>
      <c r="H189" s="185">
        <f t="shared" si="5"/>
        <v>0.29467434305747653</v>
      </c>
    </row>
    <row r="190" spans="1:8" x14ac:dyDescent="0.25">
      <c r="A190" t="str">
        <f t="shared" si="4"/>
        <v>Г3067 Ф9,9</v>
      </c>
      <c r="B190" s="118" t="s">
        <v>546</v>
      </c>
      <c r="C190" s="117">
        <v>9.9</v>
      </c>
      <c r="D190" s="183">
        <v>399.5</v>
      </c>
      <c r="E190" s="119">
        <f>'14'!D55</f>
        <v>28172.5605</v>
      </c>
      <c r="F190" s="119">
        <f>'14'!E55</f>
        <v>36474.228000000003</v>
      </c>
      <c r="G190" s="118" t="s">
        <v>538</v>
      </c>
      <c r="H190" s="185">
        <f t="shared" si="5"/>
        <v>0.29467209769591252</v>
      </c>
    </row>
    <row r="191" spans="1:8" x14ac:dyDescent="0.25">
      <c r="A191" t="str">
        <f t="shared" si="4"/>
        <v>Г3067 Ф10,5</v>
      </c>
      <c r="B191" s="118" t="s">
        <v>546</v>
      </c>
      <c r="C191" s="117">
        <v>10.5</v>
      </c>
      <c r="D191" s="183">
        <v>465</v>
      </c>
      <c r="E191" s="119">
        <f>'14'!D56</f>
        <v>30078.761999999999</v>
      </c>
      <c r="F191" s="119">
        <f>'14'!E56</f>
        <v>38942.148000000001</v>
      </c>
      <c r="G191" s="118" t="s">
        <v>538</v>
      </c>
      <c r="H191" s="185">
        <f t="shared" si="5"/>
        <v>0.29467256664353414</v>
      </c>
    </row>
    <row r="192" spans="1:8" x14ac:dyDescent="0.25">
      <c r="A192" t="str">
        <f t="shared" si="4"/>
        <v>Г3067 Ф12</v>
      </c>
      <c r="B192" s="118" t="s">
        <v>546</v>
      </c>
      <c r="C192" s="117">
        <v>12</v>
      </c>
      <c r="D192" s="183">
        <v>604</v>
      </c>
      <c r="E192" s="119">
        <f>'14'!D57</f>
        <v>38372.565000000002</v>
      </c>
      <c r="F192" s="119">
        <f>'14'!E57</f>
        <v>49679.931000000004</v>
      </c>
      <c r="G192" s="118" t="s">
        <v>538</v>
      </c>
      <c r="H192" s="185">
        <f t="shared" si="5"/>
        <v>0.29467318642889784</v>
      </c>
    </row>
    <row r="193" spans="1:8" x14ac:dyDescent="0.25">
      <c r="A193" t="str">
        <f t="shared" si="4"/>
        <v>Г3067 Ф13,5</v>
      </c>
      <c r="B193" s="118" t="s">
        <v>546</v>
      </c>
      <c r="C193" s="117">
        <v>13.5</v>
      </c>
      <c r="D193" s="183">
        <v>763.5</v>
      </c>
      <c r="E193" s="119">
        <f>'14'!D58</f>
        <v>48047.349000000002</v>
      </c>
      <c r="F193" s="119">
        <f>'14'!E58</f>
        <v>62205.633000000002</v>
      </c>
      <c r="G193" s="118" t="s">
        <v>538</v>
      </c>
      <c r="H193" s="185">
        <f t="shared" si="5"/>
        <v>0.29467357293739549</v>
      </c>
    </row>
    <row r="194" spans="1:8" x14ac:dyDescent="0.25">
      <c r="A194" t="str">
        <f t="shared" si="4"/>
        <v>Г3067 Ф15</v>
      </c>
      <c r="B194" s="118" t="s">
        <v>546</v>
      </c>
      <c r="C194" s="117">
        <v>15</v>
      </c>
      <c r="D194" s="183">
        <v>942</v>
      </c>
      <c r="E194" s="119">
        <f>'14'!D59</f>
        <v>56270.455500000004</v>
      </c>
      <c r="F194" s="119">
        <f>'14'!E59</f>
        <v>72851.824500000002</v>
      </c>
      <c r="G194" s="118" t="s">
        <v>538</v>
      </c>
      <c r="H194" s="185">
        <f t="shared" si="5"/>
        <v>0.29467273461114951</v>
      </c>
    </row>
    <row r="195" spans="1:8" x14ac:dyDescent="0.25">
      <c r="A195" t="str">
        <f t="shared" si="4"/>
        <v>Г3067 Ф16,5</v>
      </c>
      <c r="B195" s="118" t="s">
        <v>546</v>
      </c>
      <c r="C195" s="117">
        <v>16.5</v>
      </c>
      <c r="D195" s="183">
        <v>1140</v>
      </c>
      <c r="E195" s="119">
        <f>'14'!D60</f>
        <v>66063.280500000008</v>
      </c>
      <c r="F195" s="119">
        <f>'14'!E60</f>
        <v>85555.028999999995</v>
      </c>
      <c r="G195" s="118" t="s">
        <v>538</v>
      </c>
      <c r="H195" s="185">
        <f t="shared" si="5"/>
        <v>0.29504663335633152</v>
      </c>
    </row>
    <row r="196" spans="1:8" x14ac:dyDescent="0.25">
      <c r="A196" t="str">
        <f t="shared" ref="A196:A259" si="6">CONCATENATE(B196," Ф",C196)</f>
        <v>Г3067 Ф18,5</v>
      </c>
      <c r="B196" s="118" t="s">
        <v>546</v>
      </c>
      <c r="C196" s="117">
        <v>18.5</v>
      </c>
      <c r="D196" s="183">
        <v>1365</v>
      </c>
      <c r="E196" s="119">
        <f>'14'!D61</f>
        <v>78630.415500000003</v>
      </c>
      <c r="F196" s="119">
        <f>'14'!E61</f>
        <v>103919.697</v>
      </c>
      <c r="G196" s="118" t="s">
        <v>538</v>
      </c>
      <c r="H196" s="185">
        <f t="shared" ref="H196:H260" si="7">IF(OR(E196=0,F196=0),0,F196/E196-1)</f>
        <v>0.3216221272543065</v>
      </c>
    </row>
    <row r="197" spans="1:8" x14ac:dyDescent="0.25">
      <c r="A197" t="str">
        <f t="shared" si="6"/>
        <v>Г3068 Ф4,7</v>
      </c>
      <c r="B197" s="118" t="s">
        <v>547</v>
      </c>
      <c r="C197" s="117">
        <v>4.7</v>
      </c>
      <c r="D197" s="183">
        <v>87.7</v>
      </c>
      <c r="E197" s="119">
        <f>'14'!D68</f>
        <v>13506.759</v>
      </c>
      <c r="F197" s="119">
        <f>'14'!E68</f>
        <v>17492.16</v>
      </c>
      <c r="G197" s="118" t="s">
        <v>538</v>
      </c>
      <c r="H197" s="185">
        <f t="shared" si="7"/>
        <v>0.2950671585981508</v>
      </c>
    </row>
    <row r="198" spans="1:8" x14ac:dyDescent="0.25">
      <c r="A198" t="str">
        <f t="shared" si="6"/>
        <v>Г3068 Ф5,1</v>
      </c>
      <c r="B198" s="118" t="s">
        <v>547</v>
      </c>
      <c r="C198" s="117">
        <v>5.0999999999999996</v>
      </c>
      <c r="D198" s="183">
        <v>104.5</v>
      </c>
      <c r="E198" s="119">
        <f>'14'!D69</f>
        <v>15008.427</v>
      </c>
      <c r="F198" s="119">
        <f>'14'!E69</f>
        <v>19436.97</v>
      </c>
      <c r="G198" s="118" t="s">
        <v>538</v>
      </c>
      <c r="H198" s="185">
        <f t="shared" si="7"/>
        <v>0.29507042943274486</v>
      </c>
    </row>
    <row r="199" spans="1:8" x14ac:dyDescent="0.25">
      <c r="A199" t="str">
        <f t="shared" si="6"/>
        <v>Г3068 Ф5,9</v>
      </c>
      <c r="B199" s="118" t="s">
        <v>547</v>
      </c>
      <c r="C199" s="117">
        <v>5.9</v>
      </c>
      <c r="D199" s="183">
        <v>142.5</v>
      </c>
      <c r="E199" s="119">
        <f>'14'!D70</f>
        <v>17787.514500000001</v>
      </c>
      <c r="F199" s="119">
        <f>'14'!E70</f>
        <v>23028.001500000002</v>
      </c>
      <c r="G199" s="118" t="s">
        <v>538</v>
      </c>
      <c r="H199" s="185">
        <f t="shared" si="7"/>
        <v>0.29461603530948643</v>
      </c>
    </row>
    <row r="200" spans="1:8" x14ac:dyDescent="0.25">
      <c r="A200" t="str">
        <f t="shared" si="6"/>
        <v>Г3068 Ф6,4</v>
      </c>
      <c r="B200" s="118" t="s">
        <v>547</v>
      </c>
      <c r="C200" s="117">
        <v>6.4</v>
      </c>
      <c r="D200" s="183">
        <v>163</v>
      </c>
      <c r="E200" s="119">
        <f>'14'!D71</f>
        <v>19144.377000000004</v>
      </c>
      <c r="F200" s="119">
        <f>'14'!E71</f>
        <v>24802.480500000001</v>
      </c>
      <c r="G200" s="118" t="s">
        <v>538</v>
      </c>
      <c r="H200" s="185">
        <f t="shared" si="7"/>
        <v>0.29554910561989023</v>
      </c>
    </row>
    <row r="201" spans="1:8" x14ac:dyDescent="0.25">
      <c r="A201" t="str">
        <f t="shared" si="6"/>
        <v>Г3068 Ф7,2</v>
      </c>
      <c r="B201" s="118" t="s">
        <v>547</v>
      </c>
      <c r="C201" s="117">
        <v>7.2</v>
      </c>
      <c r="D201" s="183">
        <v>209.5</v>
      </c>
      <c r="E201" s="119">
        <f>'14'!D72</f>
        <v>23076.774000000001</v>
      </c>
      <c r="F201" s="119">
        <f>'14'!E72</f>
        <v>29889.342000000001</v>
      </c>
      <c r="G201" s="118" t="s">
        <v>538</v>
      </c>
      <c r="H201" s="185">
        <f t="shared" si="7"/>
        <v>0.29521318707718858</v>
      </c>
    </row>
    <row r="202" spans="1:8" x14ac:dyDescent="0.25">
      <c r="A202" t="str">
        <f t="shared" si="6"/>
        <v>Г3068 Ф8</v>
      </c>
      <c r="B202" s="118" t="s">
        <v>547</v>
      </c>
      <c r="C202" s="117">
        <v>8</v>
      </c>
      <c r="D202" s="183">
        <v>261.5</v>
      </c>
      <c r="E202" s="119">
        <f>'14'!D73</f>
        <v>28341.022500000003</v>
      </c>
      <c r="F202" s="119">
        <f>'14'!E73</f>
        <v>36723.361499999999</v>
      </c>
      <c r="G202" s="118" t="s">
        <v>538</v>
      </c>
      <c r="H202" s="185">
        <f t="shared" si="7"/>
        <v>0.29576699288107888</v>
      </c>
    </row>
    <row r="203" spans="1:8" x14ac:dyDescent="0.25">
      <c r="A203" t="str">
        <f t="shared" si="6"/>
        <v>Г3068 Ф8,6</v>
      </c>
      <c r="B203" s="118" t="s">
        <v>547</v>
      </c>
      <c r="C203" s="117">
        <v>8.6</v>
      </c>
      <c r="D203" s="183">
        <v>291</v>
      </c>
      <c r="E203" s="119">
        <f>'14'!D74</f>
        <v>28641.06</v>
      </c>
      <c r="F203" s="119">
        <f>'14'!E74</f>
        <v>37127.296500000004</v>
      </c>
      <c r="G203" s="118" t="s">
        <v>538</v>
      </c>
      <c r="H203" s="185">
        <f t="shared" si="7"/>
        <v>0.29629617409411524</v>
      </c>
    </row>
    <row r="204" spans="1:8" x14ac:dyDescent="0.25">
      <c r="A204" t="str">
        <f t="shared" si="6"/>
        <v>Г3068 Ф10,5</v>
      </c>
      <c r="B204" s="118" t="s">
        <v>547</v>
      </c>
      <c r="C204" s="117">
        <v>10.5</v>
      </c>
      <c r="D204" s="183">
        <v>454</v>
      </c>
      <c r="E204" s="119">
        <f>'14'!D75</f>
        <v>43181.1345</v>
      </c>
      <c r="F204" s="119">
        <f>'14'!E75</f>
        <v>55991.229000000007</v>
      </c>
      <c r="G204" s="118" t="s">
        <v>538</v>
      </c>
      <c r="H204" s="185">
        <f t="shared" si="7"/>
        <v>0.2966595169008357</v>
      </c>
    </row>
    <row r="205" spans="1:8" x14ac:dyDescent="0.25">
      <c r="A205" t="str">
        <f t="shared" si="6"/>
        <v>Г3068 Ф13</v>
      </c>
      <c r="B205" s="118" t="s">
        <v>547</v>
      </c>
      <c r="C205" s="117">
        <v>13</v>
      </c>
      <c r="D205" s="183">
        <v>652.5</v>
      </c>
      <c r="E205" s="119">
        <f>'14'!D76</f>
        <v>52869.820500000002</v>
      </c>
      <c r="F205" s="119">
        <f>'14'!E76</f>
        <v>68546.425499999998</v>
      </c>
      <c r="G205" s="118" t="s">
        <v>538</v>
      </c>
      <c r="H205" s="185">
        <f t="shared" si="7"/>
        <v>0.29651330100506001</v>
      </c>
    </row>
    <row r="206" spans="1:8" x14ac:dyDescent="0.25">
      <c r="A206" t="str">
        <f t="shared" si="6"/>
        <v>Г3069 Ф2,2</v>
      </c>
      <c r="B206" s="118" t="s">
        <v>548</v>
      </c>
      <c r="C206" s="117">
        <v>2.2000000000000002</v>
      </c>
      <c r="D206" s="183">
        <v>16.2</v>
      </c>
      <c r="E206" s="119">
        <f>'15'!D6</f>
        <v>6130.6140000000005</v>
      </c>
      <c r="F206" s="119">
        <f>'15'!E6</f>
        <v>8344.1610000000001</v>
      </c>
      <c r="G206" s="118" t="s">
        <v>540</v>
      </c>
      <c r="H206" s="185">
        <f t="shared" si="7"/>
        <v>0.36106448717860884</v>
      </c>
    </row>
    <row r="207" spans="1:8" x14ac:dyDescent="0.25">
      <c r="A207" t="str">
        <f t="shared" si="6"/>
        <v>Г3069 Ф2,3</v>
      </c>
      <c r="B207" s="118" t="s">
        <v>548</v>
      </c>
      <c r="C207" s="117">
        <v>2.2999999999999998</v>
      </c>
      <c r="D207" s="183">
        <v>19.100000000000001</v>
      </c>
      <c r="E207" s="119">
        <f>'15'!D7</f>
        <v>6291.4529999999995</v>
      </c>
      <c r="F207" s="119">
        <f>'15'!E7</f>
        <v>8598.9330000000009</v>
      </c>
      <c r="G207" s="118" t="s">
        <v>540</v>
      </c>
      <c r="H207" s="185">
        <f t="shared" si="7"/>
        <v>0.36676424349033554</v>
      </c>
    </row>
    <row r="208" spans="1:8" x14ac:dyDescent="0.25">
      <c r="A208" t="str">
        <f t="shared" si="6"/>
        <v>Г3069 Ф2,5</v>
      </c>
      <c r="B208" s="118" t="s">
        <v>548</v>
      </c>
      <c r="C208" s="117">
        <v>2.5</v>
      </c>
      <c r="D208" s="183">
        <v>22.4</v>
      </c>
      <c r="E208" s="119">
        <f>'15'!D8</f>
        <v>6449.2260000000006</v>
      </c>
      <c r="F208" s="119">
        <f>'15'!E8</f>
        <v>8770.9755000000005</v>
      </c>
      <c r="G208" s="118" t="s">
        <v>540</v>
      </c>
      <c r="H208" s="185">
        <f t="shared" si="7"/>
        <v>0.36000436331429531</v>
      </c>
    </row>
    <row r="209" spans="1:8" x14ac:dyDescent="0.25">
      <c r="A209" t="str">
        <f t="shared" si="6"/>
        <v>Г3069 Ф2,7</v>
      </c>
      <c r="B209" s="118" t="s">
        <v>548</v>
      </c>
      <c r="C209" s="117">
        <v>2.7</v>
      </c>
      <c r="D209" s="183">
        <v>26</v>
      </c>
      <c r="E209" s="119">
        <f>'15'!D9</f>
        <v>6606.9780000000001</v>
      </c>
      <c r="F209" s="119">
        <f>'15'!E9</f>
        <v>9025.737000000001</v>
      </c>
      <c r="G209" s="118" t="s">
        <v>540</v>
      </c>
      <c r="H209" s="185">
        <f t="shared" si="7"/>
        <v>0.36609157772282597</v>
      </c>
    </row>
    <row r="210" spans="1:8" x14ac:dyDescent="0.25">
      <c r="A210" t="str">
        <f t="shared" si="6"/>
        <v>Г3069 Ф2,9</v>
      </c>
      <c r="B210" s="118" t="s">
        <v>548</v>
      </c>
      <c r="C210" s="117">
        <v>2.9</v>
      </c>
      <c r="D210" s="183">
        <v>29.8</v>
      </c>
      <c r="E210" s="119">
        <f>'15'!D10</f>
        <v>6808.0110000000004</v>
      </c>
      <c r="F210" s="119">
        <f>'15'!E10</f>
        <v>9283.7955000000002</v>
      </c>
      <c r="G210" s="118" t="s">
        <v>540</v>
      </c>
      <c r="H210" s="185">
        <f t="shared" si="7"/>
        <v>0.36365753521843591</v>
      </c>
    </row>
    <row r="211" spans="1:8" x14ac:dyDescent="0.25">
      <c r="A211" t="str">
        <f t="shared" si="6"/>
        <v>Г3069 Ф3,3</v>
      </c>
      <c r="B211" s="118" t="s">
        <v>548</v>
      </c>
      <c r="C211" s="117">
        <v>3.3</v>
      </c>
      <c r="D211" s="183">
        <v>38.200000000000003</v>
      </c>
      <c r="E211" s="119">
        <f>'15'!D11</f>
        <v>7207.0529999999999</v>
      </c>
      <c r="F211" s="119">
        <f>'15'!E11</f>
        <v>9836.3160000000007</v>
      </c>
      <c r="G211" s="118" t="s">
        <v>540</v>
      </c>
      <c r="H211" s="185">
        <f t="shared" si="7"/>
        <v>0.36481804698813791</v>
      </c>
    </row>
    <row r="212" spans="1:8" x14ac:dyDescent="0.25">
      <c r="A212" t="str">
        <f t="shared" si="6"/>
        <v>Г3069 Ф3,7</v>
      </c>
      <c r="B212" s="118" t="s">
        <v>548</v>
      </c>
      <c r="C212" s="117">
        <v>3.7</v>
      </c>
      <c r="D212" s="183">
        <v>47.7</v>
      </c>
      <c r="E212" s="119">
        <f>'15'!D12</f>
        <v>7606.0635000000002</v>
      </c>
      <c r="F212" s="119">
        <f>'15'!E12</f>
        <v>10517.871000000001</v>
      </c>
      <c r="G212" s="118" t="s">
        <v>540</v>
      </c>
      <c r="H212" s="185">
        <f t="shared" si="7"/>
        <v>0.3828271352191579</v>
      </c>
    </row>
    <row r="213" spans="1:8" x14ac:dyDescent="0.25">
      <c r="A213" t="str">
        <f t="shared" si="6"/>
        <v>Г3069 Ф4</v>
      </c>
      <c r="B213" s="118" t="s">
        <v>548</v>
      </c>
      <c r="C213" s="117">
        <v>4</v>
      </c>
      <c r="D213" s="183">
        <v>54</v>
      </c>
      <c r="E213" s="119">
        <f>'15'!D13</f>
        <v>7884.4500000000007</v>
      </c>
      <c r="F213" s="119">
        <f>'15'!E13</f>
        <v>10944.685500000001</v>
      </c>
      <c r="G213" s="118" t="s">
        <v>540</v>
      </c>
      <c r="H213" s="185">
        <f t="shared" si="7"/>
        <v>0.38813557064855519</v>
      </c>
    </row>
    <row r="214" spans="1:8" x14ac:dyDescent="0.25">
      <c r="A214" t="str">
        <f t="shared" si="6"/>
        <v>Г3069 Ф4,9</v>
      </c>
      <c r="B214" s="118" t="s">
        <v>548</v>
      </c>
      <c r="C214" s="117">
        <v>4.9000000000000004</v>
      </c>
      <c r="D214" s="183">
        <v>83.7</v>
      </c>
      <c r="E214" s="119">
        <f>'15'!D14</f>
        <v>8981.3325000000004</v>
      </c>
      <c r="F214" s="119">
        <f>'15'!E14</f>
        <v>12648.583500000001</v>
      </c>
      <c r="G214" s="118" t="s">
        <v>540</v>
      </c>
      <c r="H214" s="185">
        <f t="shared" si="7"/>
        <v>0.40831925552249615</v>
      </c>
    </row>
    <row r="215" spans="1:8" x14ac:dyDescent="0.25">
      <c r="A215" t="str">
        <f t="shared" si="6"/>
        <v>Г3069 Ф5,9</v>
      </c>
      <c r="B215" s="118" t="s">
        <v>548</v>
      </c>
      <c r="C215" s="117">
        <v>5.9</v>
      </c>
      <c r="D215" s="183">
        <v>120</v>
      </c>
      <c r="E215" s="119">
        <f>'15'!D15</f>
        <v>10686.826500000001</v>
      </c>
      <c r="F215" s="119">
        <f>'15'!E15</f>
        <v>13835.282999999999</v>
      </c>
      <c r="G215" s="118" t="s">
        <v>540</v>
      </c>
      <c r="H215" s="185">
        <f t="shared" si="7"/>
        <v>0.29461098671340813</v>
      </c>
    </row>
    <row r="216" spans="1:8" x14ac:dyDescent="0.25">
      <c r="A216" t="str">
        <f t="shared" si="6"/>
        <v>Г3069 Ф6,8</v>
      </c>
      <c r="B216" s="118" t="s">
        <v>548</v>
      </c>
      <c r="C216" s="117">
        <v>6.8</v>
      </c>
      <c r="D216" s="183">
        <v>162.5</v>
      </c>
      <c r="E216" s="119">
        <f>'15'!D16</f>
        <v>12335.273999999999</v>
      </c>
      <c r="F216" s="119">
        <f>'15'!E16</f>
        <v>15979.11</v>
      </c>
      <c r="G216" s="118" t="s">
        <v>540</v>
      </c>
      <c r="H216" s="185">
        <f t="shared" si="7"/>
        <v>0.29539968062322752</v>
      </c>
    </row>
    <row r="217" spans="1:8" x14ac:dyDescent="0.25">
      <c r="A217" t="str">
        <f t="shared" si="6"/>
        <v>Г3069 Ф7,8</v>
      </c>
      <c r="B217" s="118" t="s">
        <v>548</v>
      </c>
      <c r="C217" s="117">
        <v>7.8</v>
      </c>
      <c r="D217" s="183">
        <v>212</v>
      </c>
      <c r="E217" s="119">
        <f>'15'!D17</f>
        <v>15482.25</v>
      </c>
      <c r="F217" s="119">
        <f>'15'!E17</f>
        <v>20047.513500000001</v>
      </c>
      <c r="G217" s="118" t="s">
        <v>540</v>
      </c>
      <c r="H217" s="185">
        <f t="shared" si="7"/>
        <v>0.29487080366225848</v>
      </c>
    </row>
    <row r="218" spans="1:8" x14ac:dyDescent="0.25">
      <c r="A218" t="str">
        <f t="shared" si="6"/>
        <v>Г3069 Ф8,7</v>
      </c>
      <c r="B218" s="118" t="s">
        <v>548</v>
      </c>
      <c r="C218" s="117">
        <v>8.6999999999999993</v>
      </c>
      <c r="D218" s="183">
        <v>267.5</v>
      </c>
      <c r="E218" s="119">
        <f>'15'!D18</f>
        <v>17488.778999999999</v>
      </c>
      <c r="F218" s="119">
        <f>'15'!E18</f>
        <v>22651.965</v>
      </c>
      <c r="G218" s="118" t="s">
        <v>540</v>
      </c>
      <c r="H218" s="185">
        <f t="shared" si="7"/>
        <v>0.29522850051453009</v>
      </c>
    </row>
    <row r="219" spans="1:8" x14ac:dyDescent="0.25">
      <c r="A219" t="str">
        <f t="shared" si="6"/>
        <v>Г3069 Ф9,7</v>
      </c>
      <c r="B219" s="118" t="s">
        <v>548</v>
      </c>
      <c r="C219" s="117">
        <v>9.6999999999999993</v>
      </c>
      <c r="D219" s="183">
        <v>335</v>
      </c>
      <c r="E219" s="119">
        <f>'15'!D19</f>
        <v>20138.978999999999</v>
      </c>
      <c r="F219" s="119">
        <f>'15'!E19</f>
        <v>26083.522500000003</v>
      </c>
      <c r="G219" s="118" t="s">
        <v>540</v>
      </c>
      <c r="H219" s="185">
        <f t="shared" si="7"/>
        <v>0.29517601165381846</v>
      </c>
    </row>
    <row r="220" spans="1:8" x14ac:dyDescent="0.25">
      <c r="A220" t="str">
        <f t="shared" si="6"/>
        <v>Г3069 Ф10,5</v>
      </c>
      <c r="B220" s="118" t="s">
        <v>548</v>
      </c>
      <c r="C220" s="117">
        <v>10.5</v>
      </c>
      <c r="D220" s="183">
        <v>404</v>
      </c>
      <c r="E220" s="119">
        <f>'15'!D20</f>
        <v>22341.501</v>
      </c>
      <c r="F220" s="119">
        <f>'15'!E20</f>
        <v>28931.300999999999</v>
      </c>
      <c r="G220" s="118" t="s">
        <v>540</v>
      </c>
      <c r="H220" s="185">
        <f t="shared" si="7"/>
        <v>0.29495780073147282</v>
      </c>
    </row>
    <row r="221" spans="1:8" x14ac:dyDescent="0.25">
      <c r="A221" t="str">
        <f t="shared" si="6"/>
        <v>Г3069 Ф11,5</v>
      </c>
      <c r="B221" s="118" t="s">
        <v>548</v>
      </c>
      <c r="C221" s="117">
        <v>11.5</v>
      </c>
      <c r="D221" s="183">
        <v>479</v>
      </c>
      <c r="E221" s="119">
        <f>'15'!D21</f>
        <v>26215.675500000001</v>
      </c>
      <c r="F221" s="119">
        <f>'15'!E21</f>
        <v>33956.874000000003</v>
      </c>
      <c r="G221" s="118" t="s">
        <v>540</v>
      </c>
      <c r="H221" s="185">
        <f t="shared" si="7"/>
        <v>0.29528891979151939</v>
      </c>
    </row>
    <row r="222" spans="1:8" x14ac:dyDescent="0.25">
      <c r="A222" t="str">
        <f t="shared" si="6"/>
        <v>Г3069 Ф12,5</v>
      </c>
      <c r="B222" s="118" t="s">
        <v>548</v>
      </c>
      <c r="C222" s="117">
        <v>12.5</v>
      </c>
      <c r="D222" s="183">
        <v>562</v>
      </c>
      <c r="E222" s="119">
        <f>'15'!D22</f>
        <v>33063.24</v>
      </c>
      <c r="F222" s="119">
        <f>'15'!E22</f>
        <v>42804.993000000002</v>
      </c>
      <c r="G222" s="118" t="s">
        <v>540</v>
      </c>
      <c r="H222" s="185">
        <f t="shared" si="7"/>
        <v>0.29463999898376581</v>
      </c>
    </row>
    <row r="223" spans="1:8" x14ac:dyDescent="0.25">
      <c r="A223" t="str">
        <f t="shared" si="6"/>
        <v>Г3069 Ф13,5</v>
      </c>
      <c r="B223" s="118" t="s">
        <v>548</v>
      </c>
      <c r="C223" s="117">
        <v>13.5</v>
      </c>
      <c r="D223" s="183">
        <v>650.5</v>
      </c>
      <c r="E223" s="119">
        <f>'15'!D23</f>
        <v>37467.538500000002</v>
      </c>
      <c r="F223" s="119">
        <f>'15'!E23</f>
        <v>48514.525499999996</v>
      </c>
      <c r="G223" s="118" t="s">
        <v>540</v>
      </c>
      <c r="H223" s="185">
        <f t="shared" si="7"/>
        <v>0.29484154663643025</v>
      </c>
    </row>
    <row r="224" spans="1:8" x14ac:dyDescent="0.25">
      <c r="A224" t="str">
        <f t="shared" si="6"/>
        <v>Г3069 Ф14,5</v>
      </c>
      <c r="B224" s="118" t="s">
        <v>548</v>
      </c>
      <c r="C224" s="117">
        <v>14.5</v>
      </c>
      <c r="D224" s="183">
        <v>745.5</v>
      </c>
      <c r="E224" s="119">
        <f>'15'!D24</f>
        <v>44181.637500000004</v>
      </c>
      <c r="F224" s="119">
        <f>'15'!E24</f>
        <v>57209.019</v>
      </c>
      <c r="G224" s="118" t="s">
        <v>540</v>
      </c>
      <c r="H224" s="185">
        <f t="shared" si="7"/>
        <v>0.29485963484264244</v>
      </c>
    </row>
    <row r="225" spans="1:8" x14ac:dyDescent="0.25">
      <c r="A225" t="str">
        <f t="shared" si="6"/>
        <v>Г3069 Ф15,5</v>
      </c>
      <c r="B225" s="118" t="s">
        <v>548</v>
      </c>
      <c r="C225" s="117">
        <v>15.5</v>
      </c>
      <c r="D225" s="183">
        <v>847.5</v>
      </c>
      <c r="E225" s="119">
        <f>'15'!D25</f>
        <v>49909.461000000003</v>
      </c>
      <c r="F225" s="119">
        <f>'15'!E25</f>
        <v>64630.408499999998</v>
      </c>
      <c r="G225" s="118" t="s">
        <v>540</v>
      </c>
      <c r="H225" s="185">
        <f t="shared" si="7"/>
        <v>0.29495304507496067</v>
      </c>
    </row>
    <row r="226" spans="1:8" x14ac:dyDescent="0.25">
      <c r="A226" t="str">
        <f t="shared" si="6"/>
        <v>Г3069 Ф16,5</v>
      </c>
      <c r="B226" s="118" t="s">
        <v>548</v>
      </c>
      <c r="C226" s="117">
        <v>16.5</v>
      </c>
      <c r="D226" s="183">
        <v>955.5</v>
      </c>
      <c r="E226" s="119">
        <f>'15'!D26</f>
        <v>52858.029000000002</v>
      </c>
      <c r="F226" s="119">
        <f>'15'!E26</f>
        <v>68464.073999999993</v>
      </c>
      <c r="G226" s="118" t="s">
        <v>540</v>
      </c>
      <c r="H226" s="185">
        <f t="shared" si="7"/>
        <v>0.29524455026501251</v>
      </c>
    </row>
    <row r="227" spans="1:8" x14ac:dyDescent="0.25">
      <c r="A227" t="str">
        <f t="shared" si="6"/>
        <v>Г3069 Ф17,5</v>
      </c>
      <c r="B227" s="118" t="s">
        <v>548</v>
      </c>
      <c r="C227" s="117">
        <v>17.5</v>
      </c>
      <c r="D227" s="183">
        <v>1070</v>
      </c>
      <c r="E227" s="119">
        <f>'15'!D27</f>
        <v>59816.127</v>
      </c>
      <c r="F227" s="119">
        <f>'15'!E27</f>
        <v>77488.887000000002</v>
      </c>
      <c r="G227" s="118" t="s">
        <v>540</v>
      </c>
      <c r="H227" s="185">
        <f t="shared" si="7"/>
        <v>0.29545142566652638</v>
      </c>
    </row>
    <row r="228" spans="1:8" x14ac:dyDescent="0.25">
      <c r="A228" t="str">
        <f t="shared" si="6"/>
        <v>Г3069 Ф19,5</v>
      </c>
      <c r="B228" s="118" t="s">
        <v>548</v>
      </c>
      <c r="C228" s="117">
        <v>19.5</v>
      </c>
      <c r="D228" s="183">
        <v>1335</v>
      </c>
      <c r="E228" s="119">
        <f>'15'!D28</f>
        <v>73271.677500000005</v>
      </c>
      <c r="F228" s="119">
        <f>'15'!E28</f>
        <v>94910.297999999995</v>
      </c>
      <c r="G228" s="118" t="s">
        <v>540</v>
      </c>
      <c r="H228" s="185">
        <f t="shared" si="7"/>
        <v>0.29532039170251001</v>
      </c>
    </row>
    <row r="229" spans="1:8" x14ac:dyDescent="0.25">
      <c r="A229" t="str">
        <f t="shared" si="6"/>
        <v>Г3069 Ф21</v>
      </c>
      <c r="B229" s="118" t="s">
        <v>548</v>
      </c>
      <c r="C229" s="117">
        <v>21</v>
      </c>
      <c r="D229" s="183">
        <v>1615</v>
      </c>
      <c r="E229" s="119">
        <f>'15'!D29</f>
        <v>81398.73000000001</v>
      </c>
      <c r="F229" s="119">
        <f>'15'!E29</f>
        <v>105442.6695</v>
      </c>
      <c r="G229" s="118" t="s">
        <v>540</v>
      </c>
      <c r="H229" s="185">
        <f t="shared" si="7"/>
        <v>0.29538470071953205</v>
      </c>
    </row>
    <row r="230" spans="1:8" x14ac:dyDescent="0.25">
      <c r="A230" t="str">
        <f t="shared" si="6"/>
        <v>Г3069 Ф23</v>
      </c>
      <c r="B230" s="118" t="s">
        <v>548</v>
      </c>
      <c r="C230" s="117">
        <v>23</v>
      </c>
      <c r="D230" s="183">
        <v>1915</v>
      </c>
      <c r="E230" s="119">
        <f>'15'!D30</f>
        <v>95966.104500000001</v>
      </c>
      <c r="F230" s="119">
        <f>'15'!E30</f>
        <v>124316.4195</v>
      </c>
      <c r="G230" s="118" t="s">
        <v>540</v>
      </c>
      <c r="H230" s="185">
        <f t="shared" si="7"/>
        <v>0.29542008762062455</v>
      </c>
    </row>
    <row r="231" spans="1:8" x14ac:dyDescent="0.25">
      <c r="A231" t="str">
        <f t="shared" si="6"/>
        <v>Г3069 Ф25,5</v>
      </c>
      <c r="B231" s="118" t="s">
        <v>548</v>
      </c>
      <c r="C231" s="117">
        <v>25.5</v>
      </c>
      <c r="D231" s="183">
        <v>2250</v>
      </c>
      <c r="E231" s="119">
        <f>'15'!D31</f>
        <v>120617.45850000001</v>
      </c>
      <c r="F231" s="119">
        <f>'15'!E31</f>
        <v>156181.99800000002</v>
      </c>
      <c r="G231" s="118" t="s">
        <v>540</v>
      </c>
      <c r="H231" s="185">
        <f t="shared" si="7"/>
        <v>0.29485399495463605</v>
      </c>
    </row>
    <row r="232" spans="1:8" x14ac:dyDescent="0.25">
      <c r="A232" t="str">
        <f t="shared" si="6"/>
        <v>Г3069 Ф27</v>
      </c>
      <c r="B232" s="118" t="s">
        <v>548</v>
      </c>
      <c r="C232" s="117">
        <v>27</v>
      </c>
      <c r="D232" s="183">
        <v>2605</v>
      </c>
      <c r="E232" s="119">
        <f>'15'!D32</f>
        <v>122186.61</v>
      </c>
      <c r="F232" s="119">
        <f>'15'!E32</f>
        <v>158276.01300000001</v>
      </c>
      <c r="G232" s="118" t="s">
        <v>540</v>
      </c>
      <c r="H232" s="185">
        <f t="shared" si="7"/>
        <v>0.29536299435756508</v>
      </c>
    </row>
    <row r="233" spans="1:8" x14ac:dyDescent="0.25">
      <c r="A233" t="str">
        <f t="shared" si="6"/>
        <v>Г3069 Ф29</v>
      </c>
      <c r="B233" s="118" t="s">
        <v>548</v>
      </c>
      <c r="C233" s="117">
        <v>29</v>
      </c>
      <c r="D233" s="183">
        <v>2985</v>
      </c>
      <c r="E233" s="119">
        <f>'15'!D33</f>
        <v>137221.05600000001</v>
      </c>
      <c r="F233" s="119">
        <f>'15'!E33</f>
        <v>177670.878</v>
      </c>
      <c r="G233" s="118" t="s">
        <v>540</v>
      </c>
      <c r="H233" s="185">
        <f t="shared" si="7"/>
        <v>0.29477853602875626</v>
      </c>
    </row>
    <row r="234" spans="1:8" x14ac:dyDescent="0.25">
      <c r="A234" t="str">
        <f t="shared" si="6"/>
        <v>Г3070 Ф3,3</v>
      </c>
      <c r="B234" s="118" t="s">
        <v>549</v>
      </c>
      <c r="C234" s="117">
        <v>3.3</v>
      </c>
      <c r="D234" s="183">
        <v>35.5</v>
      </c>
      <c r="E234" s="119">
        <f>'15'!D41</f>
        <v>11384.656500000001</v>
      </c>
      <c r="F234" s="119">
        <f>'15'!E41</f>
        <v>16419.8685</v>
      </c>
      <c r="G234" s="118" t="s">
        <v>540</v>
      </c>
      <c r="H234" s="185">
        <f t="shared" si="7"/>
        <v>0.44228053784494947</v>
      </c>
    </row>
    <row r="235" spans="1:8" x14ac:dyDescent="0.25">
      <c r="A235" t="str">
        <f t="shared" si="6"/>
        <v>Г3070 Ф3,6</v>
      </c>
      <c r="B235" s="118" t="s">
        <v>549</v>
      </c>
      <c r="C235" s="117">
        <v>3.6</v>
      </c>
      <c r="D235" s="183">
        <f>'15'!C42</f>
        <v>42.9</v>
      </c>
      <c r="E235" s="119">
        <f>'15'!D42</f>
        <v>11877.4845</v>
      </c>
      <c r="F235" s="119">
        <f>'15'!E42</f>
        <v>17130.645</v>
      </c>
      <c r="G235" s="118" t="s">
        <v>540</v>
      </c>
      <c r="H235" s="185">
        <f>IF(OR(E235=0,F235=0),0,F235/E235-1)</f>
        <v>0.44227887647422315</v>
      </c>
    </row>
    <row r="236" spans="1:8" x14ac:dyDescent="0.25">
      <c r="A236" t="str">
        <f t="shared" si="6"/>
        <v>Г3070 Ф3,9</v>
      </c>
      <c r="B236" s="118" t="s">
        <v>549</v>
      </c>
      <c r="C236" s="117">
        <v>3.9</v>
      </c>
      <c r="D236" s="183">
        <v>51</v>
      </c>
      <c r="E236" s="119">
        <f>'15'!D43</f>
        <v>12264.8505</v>
      </c>
      <c r="F236" s="119">
        <f>'15'!E43</f>
        <v>17689.371000000003</v>
      </c>
      <c r="G236" s="118" t="s">
        <v>540</v>
      </c>
      <c r="H236" s="185">
        <f t="shared" si="7"/>
        <v>0.44228182805815708</v>
      </c>
    </row>
    <row r="237" spans="1:8" x14ac:dyDescent="0.25">
      <c r="A237" t="str">
        <f t="shared" si="6"/>
        <v>Г3070 Ф4,2</v>
      </c>
      <c r="B237" s="118" t="s">
        <v>549</v>
      </c>
      <c r="C237" s="117">
        <v>4.2</v>
      </c>
      <c r="D237" s="183">
        <v>59.8</v>
      </c>
      <c r="E237" s="119">
        <f>'15'!D44</f>
        <v>12660.353999999999</v>
      </c>
      <c r="F237" s="119">
        <f>'15'!E44</f>
        <v>18325.356000000003</v>
      </c>
      <c r="G237" s="118" t="s">
        <v>540</v>
      </c>
      <c r="H237" s="185">
        <f t="shared" si="7"/>
        <v>0.44745999993365149</v>
      </c>
    </row>
    <row r="238" spans="1:8" x14ac:dyDescent="0.25">
      <c r="A238" t="str">
        <f t="shared" si="6"/>
        <v>Г3070 Ф4,5</v>
      </c>
      <c r="B238" s="118" t="s">
        <v>549</v>
      </c>
      <c r="C238" s="117">
        <v>4.5</v>
      </c>
      <c r="D238" s="183">
        <v>69.3</v>
      </c>
      <c r="E238" s="119">
        <f>'15'!D45</f>
        <v>13146.4095</v>
      </c>
      <c r="F238" s="119">
        <f>'15'!E45</f>
        <v>19029.36</v>
      </c>
      <c r="G238" s="118" t="s">
        <v>540</v>
      </c>
      <c r="H238" s="185">
        <f t="shared" si="7"/>
        <v>0.4474948464065418</v>
      </c>
    </row>
    <row r="239" spans="1:8" x14ac:dyDescent="0.25">
      <c r="A239" t="str">
        <f t="shared" si="6"/>
        <v>Г3070 Ф4,8</v>
      </c>
      <c r="B239" s="118" t="s">
        <v>549</v>
      </c>
      <c r="C239" s="117">
        <v>4.8</v>
      </c>
      <c r="D239" s="183">
        <v>79.599999999999994</v>
      </c>
      <c r="E239" s="119">
        <f>'15'!D46</f>
        <v>13633.157999999999</v>
      </c>
      <c r="F239" s="119">
        <f>'15'!E46</f>
        <v>19751.959500000001</v>
      </c>
      <c r="G239" s="118" t="s">
        <v>540</v>
      </c>
      <c r="H239" s="185">
        <f t="shared" si="7"/>
        <v>0.44881761804565024</v>
      </c>
    </row>
    <row r="240" spans="1:8" x14ac:dyDescent="0.25">
      <c r="A240" t="str">
        <f t="shared" si="6"/>
        <v>Г3070 Ф5,5</v>
      </c>
      <c r="B240" s="118" t="s">
        <v>549</v>
      </c>
      <c r="C240" s="117">
        <v>5.5</v>
      </c>
      <c r="D240" s="183">
        <v>102.6</v>
      </c>
      <c r="E240" s="119">
        <f>'15'!D47</f>
        <v>14763.189</v>
      </c>
      <c r="F240" s="119">
        <f>'15'!E47</f>
        <v>21401.530500000001</v>
      </c>
      <c r="G240" s="118" t="s">
        <v>540</v>
      </c>
      <c r="H240" s="185">
        <f t="shared" si="7"/>
        <v>0.44965498307987528</v>
      </c>
    </row>
    <row r="241" spans="1:8" x14ac:dyDescent="0.25">
      <c r="A241" t="str">
        <f t="shared" si="6"/>
        <v>Г3070 Ф5,8</v>
      </c>
      <c r="B241" s="118" t="s">
        <v>549</v>
      </c>
      <c r="C241" s="117">
        <v>5.8</v>
      </c>
      <c r="D241" s="183">
        <v>114.5</v>
      </c>
      <c r="E241" s="119">
        <f>'15'!D48</f>
        <v>15230.2395</v>
      </c>
      <c r="F241" s="119">
        <f>'15'!E48</f>
        <v>22136.394</v>
      </c>
      <c r="G241" s="118" t="s">
        <v>540</v>
      </c>
      <c r="H241" s="185">
        <f t="shared" si="7"/>
        <v>0.45345015749752338</v>
      </c>
    </row>
    <row r="242" spans="1:8" x14ac:dyDescent="0.25">
      <c r="A242" t="str">
        <f t="shared" si="6"/>
        <v>Г3070 Ф6,5</v>
      </c>
      <c r="B242" s="118" t="s">
        <v>549</v>
      </c>
      <c r="C242" s="117">
        <v>6.5</v>
      </c>
      <c r="D242" s="183">
        <v>142.5</v>
      </c>
      <c r="E242" s="119">
        <f>'15'!D49</f>
        <v>16360.249500000002</v>
      </c>
      <c r="F242" s="119">
        <f>'15'!E49</f>
        <v>23697.2925</v>
      </c>
      <c r="G242" s="118" t="s">
        <v>540</v>
      </c>
      <c r="H242" s="185">
        <f t="shared" si="7"/>
        <v>0.4484676715963285</v>
      </c>
    </row>
    <row r="243" spans="1:8" x14ac:dyDescent="0.25">
      <c r="A243" t="str">
        <f t="shared" si="6"/>
        <v>Г3070 Ф8,1</v>
      </c>
      <c r="B243" s="118" t="s">
        <v>549</v>
      </c>
      <c r="C243" s="117">
        <v>8.1</v>
      </c>
      <c r="D243" s="183">
        <v>222</v>
      </c>
      <c r="E243" s="119">
        <f>'15'!D50</f>
        <v>21383.8485</v>
      </c>
      <c r="F243" s="119">
        <f>'15'!E50</f>
        <v>31060.879500000003</v>
      </c>
      <c r="G243" s="118" t="s">
        <v>540</v>
      </c>
      <c r="H243" s="185">
        <f t="shared" si="7"/>
        <v>0.45253926111569687</v>
      </c>
    </row>
    <row r="244" spans="1:8" x14ac:dyDescent="0.25">
      <c r="A244" t="str">
        <f t="shared" si="6"/>
        <v>Г3070 Ф9,7</v>
      </c>
      <c r="B244" s="118" t="s">
        <v>549</v>
      </c>
      <c r="C244" s="117">
        <v>9.6999999999999993</v>
      </c>
      <c r="D244" s="183">
        <v>319</v>
      </c>
      <c r="E244" s="119">
        <f>'15'!D51</f>
        <v>25981.389000000003</v>
      </c>
      <c r="F244" s="119">
        <f>'15'!E51</f>
        <v>35523.148500000003</v>
      </c>
      <c r="G244" s="118" t="s">
        <v>540</v>
      </c>
      <c r="H244" s="185">
        <f t="shared" si="7"/>
        <v>0.36725363297551183</v>
      </c>
    </row>
    <row r="245" spans="1:8" x14ac:dyDescent="0.25">
      <c r="A245" t="str">
        <f t="shared" si="6"/>
        <v>Г3070 Ф13</v>
      </c>
      <c r="B245" s="118" t="s">
        <v>549</v>
      </c>
      <c r="C245" s="117">
        <v>13</v>
      </c>
      <c r="D245" s="183">
        <v>565.5</v>
      </c>
      <c r="E245" s="119">
        <f>'15'!D52</f>
        <v>38692.405500000008</v>
      </c>
      <c r="F245" s="119">
        <f>'15'!E52</f>
        <v>50115.880500000007</v>
      </c>
      <c r="G245" s="118" t="s">
        <v>540</v>
      </c>
      <c r="H245" s="185">
        <f t="shared" si="7"/>
        <v>0.29523817018820386</v>
      </c>
    </row>
    <row r="246" spans="1:8" x14ac:dyDescent="0.25">
      <c r="A246" t="str">
        <f t="shared" si="6"/>
        <v>Г3071 Ф5</v>
      </c>
      <c r="B246" s="118" t="s">
        <v>550</v>
      </c>
      <c r="C246" s="117">
        <v>5</v>
      </c>
      <c r="D246" s="183">
        <v>82.5</v>
      </c>
      <c r="E246" s="119">
        <f>'15'!D63</f>
        <v>22893.759000000002</v>
      </c>
      <c r="F246" s="119">
        <f>'15'!E63</f>
        <v>29661.156000000003</v>
      </c>
      <c r="G246" s="118" t="s">
        <v>540</v>
      </c>
      <c r="H246" s="185">
        <f t="shared" si="7"/>
        <v>0.29560008035377683</v>
      </c>
    </row>
    <row r="247" spans="1:8" x14ac:dyDescent="0.25">
      <c r="A247" t="str">
        <f t="shared" si="6"/>
        <v>Г3071 Ф5,4</v>
      </c>
      <c r="B247" s="118" t="s">
        <v>550</v>
      </c>
      <c r="C247" s="117">
        <v>5.4</v>
      </c>
      <c r="D247" s="183">
        <v>98.1</v>
      </c>
      <c r="E247" s="119">
        <f>'15'!D64</f>
        <v>23852.031000000003</v>
      </c>
      <c r="F247" s="119">
        <f>'15'!E64</f>
        <v>30902.707500000004</v>
      </c>
      <c r="G247" s="118" t="s">
        <v>540</v>
      </c>
      <c r="H247" s="185">
        <f t="shared" si="7"/>
        <v>0.29560067652100575</v>
      </c>
    </row>
    <row r="248" spans="1:8" x14ac:dyDescent="0.25">
      <c r="A248" t="str">
        <f t="shared" si="6"/>
        <v>Г3071 Ф5,8</v>
      </c>
      <c r="B248" s="118" t="s">
        <v>550</v>
      </c>
      <c r="C248" s="117">
        <v>5.8</v>
      </c>
      <c r="D248" s="183">
        <v>115.5</v>
      </c>
      <c r="E248" s="119">
        <f>'15'!D65</f>
        <v>24775.359000000004</v>
      </c>
      <c r="F248" s="119">
        <f>'15'!E65</f>
        <v>32098.951500000003</v>
      </c>
      <c r="G248" s="118" t="s">
        <v>540</v>
      </c>
      <c r="H248" s="185">
        <f t="shared" si="7"/>
        <v>0.29559985387093679</v>
      </c>
    </row>
    <row r="249" spans="1:8" x14ac:dyDescent="0.25">
      <c r="A249" t="str">
        <f t="shared" si="6"/>
        <v>Г3071 Ф6,3</v>
      </c>
      <c r="B249" s="118" t="s">
        <v>550</v>
      </c>
      <c r="C249" s="117">
        <v>6.3</v>
      </c>
      <c r="D249" s="183">
        <v>134</v>
      </c>
      <c r="E249" s="119">
        <f>'15'!D66</f>
        <v>25813.850999999999</v>
      </c>
      <c r="F249" s="119">
        <f>'15'!E66</f>
        <v>33444.411</v>
      </c>
      <c r="G249" s="118" t="s">
        <v>540</v>
      </c>
      <c r="H249" s="185">
        <f t="shared" si="7"/>
        <v>0.29559944387995429</v>
      </c>
    </row>
    <row r="250" spans="1:8" x14ac:dyDescent="0.25">
      <c r="A250" t="str">
        <f t="shared" si="6"/>
        <v>Г3071 Ф6,7</v>
      </c>
      <c r="B250" s="118" t="s">
        <v>550</v>
      </c>
      <c r="C250" s="117">
        <v>6.7</v>
      </c>
      <c r="D250" s="183">
        <v>153.5</v>
      </c>
      <c r="E250" s="119">
        <f>'15'!D67</f>
        <v>26850.264000000003</v>
      </c>
      <c r="F250" s="119">
        <f>'15'!E67</f>
        <v>34787.193000000007</v>
      </c>
      <c r="G250" s="118" t="s">
        <v>540</v>
      </c>
      <c r="H250" s="185">
        <f t="shared" si="7"/>
        <v>0.29559966337761168</v>
      </c>
    </row>
    <row r="251" spans="1:8" x14ac:dyDescent="0.25">
      <c r="A251" t="str">
        <f t="shared" si="6"/>
        <v>Г3071 Ф7,6</v>
      </c>
      <c r="B251" s="118" t="s">
        <v>550</v>
      </c>
      <c r="C251" s="117">
        <v>7.6</v>
      </c>
      <c r="D251" s="183">
        <v>197</v>
      </c>
      <c r="E251" s="119">
        <f>'15'!D68</f>
        <v>27390.058500000003</v>
      </c>
      <c r="F251" s="119">
        <f>'15'!E68</f>
        <v>35486.556000000004</v>
      </c>
      <c r="G251" s="118" t="s">
        <v>540</v>
      </c>
      <c r="H251" s="185">
        <f t="shared" si="7"/>
        <v>0.2955998615337021</v>
      </c>
    </row>
    <row r="252" spans="1:8" x14ac:dyDescent="0.25">
      <c r="A252" t="str">
        <f t="shared" si="6"/>
        <v>Г3071 Ф8,5</v>
      </c>
      <c r="B252" s="118" t="s">
        <v>550</v>
      </c>
      <c r="C252" s="117">
        <v>8.5</v>
      </c>
      <c r="D252" s="183">
        <v>246</v>
      </c>
      <c r="E252" s="119">
        <f>'15'!D69</f>
        <v>29856.592499999999</v>
      </c>
      <c r="F252" s="119">
        <f>'15'!E69</f>
        <v>38682.188999999998</v>
      </c>
      <c r="G252" s="118" t="s">
        <v>540</v>
      </c>
      <c r="H252" s="185">
        <f t="shared" si="7"/>
        <v>0.29559958993980984</v>
      </c>
    </row>
    <row r="253" spans="1:8" x14ac:dyDescent="0.25">
      <c r="A253" t="str">
        <f t="shared" si="6"/>
        <v>Г3071 Ф9</v>
      </c>
      <c r="B253" s="118" t="s">
        <v>550</v>
      </c>
      <c r="C253" s="117">
        <v>9</v>
      </c>
      <c r="D253" s="183">
        <v>273.5</v>
      </c>
      <c r="E253" s="119">
        <f>'15'!D70</f>
        <v>31235.494500000001</v>
      </c>
      <c r="F253" s="119">
        <f>'15'!E70</f>
        <v>40468.711499999998</v>
      </c>
      <c r="G253" s="118" t="s">
        <v>540</v>
      </c>
      <c r="H253" s="185">
        <f t="shared" si="7"/>
        <v>0.29560015449731392</v>
      </c>
    </row>
    <row r="254" spans="1:8" x14ac:dyDescent="0.25">
      <c r="A254" t="str">
        <f t="shared" si="6"/>
        <v>Г3071 Ф11,5</v>
      </c>
      <c r="B254" s="118" t="s">
        <v>550</v>
      </c>
      <c r="C254" s="117">
        <v>11.5</v>
      </c>
      <c r="D254" s="183">
        <v>427</v>
      </c>
      <c r="E254" s="119">
        <f>'15'!D71</f>
        <v>38454.4545</v>
      </c>
      <c r="F254" s="119">
        <f>'15'!E71</f>
        <v>49821.597000000002</v>
      </c>
      <c r="G254" s="118" t="s">
        <v>540</v>
      </c>
      <c r="H254" s="185">
        <f t="shared" si="7"/>
        <v>0.29560014952233948</v>
      </c>
    </row>
    <row r="255" spans="1:8" x14ac:dyDescent="0.25">
      <c r="A255" t="str">
        <f t="shared" si="6"/>
        <v>Г3071 Ф13,5</v>
      </c>
      <c r="B255" s="118" t="s">
        <v>550</v>
      </c>
      <c r="C255" s="117">
        <v>13.5</v>
      </c>
      <c r="D255" s="183">
        <v>613.5</v>
      </c>
      <c r="E255" s="119">
        <f>'15'!D73</f>
        <v>46980.4545</v>
      </c>
      <c r="F255" s="119">
        <f>'15'!E73</f>
        <v>60867.912000000004</v>
      </c>
      <c r="G255" s="118" t="s">
        <v>540</v>
      </c>
      <c r="H255" s="185">
        <f t="shared" si="7"/>
        <v>0.29560074817922422</v>
      </c>
    </row>
    <row r="256" spans="1:8" x14ac:dyDescent="0.25">
      <c r="A256" t="str">
        <f t="shared" si="6"/>
        <v>Г3071 Ф15,5</v>
      </c>
      <c r="B256" s="118" t="s">
        <v>550</v>
      </c>
      <c r="C256" s="117">
        <v>15.5</v>
      </c>
      <c r="D256" s="183">
        <v>834.5</v>
      </c>
      <c r="E256" s="119">
        <f>'15'!D74</f>
        <v>56376.568500000001</v>
      </c>
      <c r="F256" s="119">
        <f>'15'!E74</f>
        <v>73041.4755</v>
      </c>
      <c r="G256" s="118" t="s">
        <v>540</v>
      </c>
      <c r="H256" s="185">
        <f t="shared" si="7"/>
        <v>0.29559988206802612</v>
      </c>
    </row>
    <row r="257" spans="1:8" x14ac:dyDescent="0.25">
      <c r="A257" t="str">
        <f t="shared" si="6"/>
        <v>Г3077 Ф4,6</v>
      </c>
      <c r="B257" s="118" t="s">
        <v>551</v>
      </c>
      <c r="C257" s="117">
        <v>4.5999999999999996</v>
      </c>
      <c r="D257" s="183">
        <v>77.8</v>
      </c>
      <c r="E257" s="119">
        <f>'16'!D6</f>
        <v>10705.653</v>
      </c>
      <c r="F257" s="119">
        <f>'16'!E6</f>
        <v>13864.042500000001</v>
      </c>
      <c r="G257" s="118" t="s">
        <v>540</v>
      </c>
      <c r="H257" s="185">
        <f t="shared" si="7"/>
        <v>0.29502072409782021</v>
      </c>
    </row>
    <row r="258" spans="1:8" x14ac:dyDescent="0.25">
      <c r="A258" t="str">
        <f t="shared" si="6"/>
        <v>Г3077 Ф5,1</v>
      </c>
      <c r="B258" s="118" t="s">
        <v>551</v>
      </c>
      <c r="C258" s="117">
        <v>5.0999999999999996</v>
      </c>
      <c r="D258" s="183">
        <v>95.9</v>
      </c>
      <c r="E258" s="119">
        <f>'16'!D7</f>
        <v>12277.902</v>
      </c>
      <c r="F258" s="119">
        <f>'16'!E7</f>
        <v>15908.959500000001</v>
      </c>
      <c r="G258" s="118" t="s">
        <v>540</v>
      </c>
      <c r="H258" s="185">
        <f t="shared" si="7"/>
        <v>0.29573924763367554</v>
      </c>
    </row>
    <row r="259" spans="1:8" x14ac:dyDescent="0.25">
      <c r="A259" t="str">
        <f t="shared" si="6"/>
        <v>Г3077 Ф5,7</v>
      </c>
      <c r="B259" s="118" t="s">
        <v>551</v>
      </c>
      <c r="C259" s="117">
        <v>5.7</v>
      </c>
      <c r="D259" s="183">
        <v>126</v>
      </c>
      <c r="E259" s="119">
        <f>'16'!D8</f>
        <v>14029.89</v>
      </c>
      <c r="F259" s="119">
        <f>'16'!E8</f>
        <v>18171.2055</v>
      </c>
      <c r="G259" s="118" t="s">
        <v>540</v>
      </c>
      <c r="H259" s="185">
        <f t="shared" si="7"/>
        <v>0.29517804487419363</v>
      </c>
    </row>
    <row r="260" spans="1:8" x14ac:dyDescent="0.25">
      <c r="A260" t="str">
        <f t="shared" ref="A260:A323" si="8">CONCATENATE(B260," Ф",C260)</f>
        <v>Г3077 Ф6,4</v>
      </c>
      <c r="B260" s="118" t="s">
        <v>551</v>
      </c>
      <c r="C260" s="117">
        <v>6.4</v>
      </c>
      <c r="D260" s="183">
        <v>153</v>
      </c>
      <c r="E260" s="119">
        <f>'16'!D9</f>
        <v>15965.628000000001</v>
      </c>
      <c r="F260" s="119">
        <f>'16'!E9</f>
        <v>20676.117000000002</v>
      </c>
      <c r="G260" s="118" t="s">
        <v>540</v>
      </c>
      <c r="H260" s="185">
        <f t="shared" si="7"/>
        <v>0.29503938084991099</v>
      </c>
    </row>
    <row r="261" spans="1:8" x14ac:dyDescent="0.25">
      <c r="A261" t="str">
        <f t="shared" si="8"/>
        <v>Г3077 Ф7,8</v>
      </c>
      <c r="B261" s="118" t="s">
        <v>551</v>
      </c>
      <c r="C261" s="117">
        <v>7.8</v>
      </c>
      <c r="D261" s="183">
        <v>220.5</v>
      </c>
      <c r="E261" s="119">
        <f>'16'!D10</f>
        <v>21262.878000000001</v>
      </c>
      <c r="F261" s="119">
        <f>'16'!E10</f>
        <v>27545.028000000002</v>
      </c>
      <c r="G261" s="118" t="s">
        <v>540</v>
      </c>
      <c r="H261" s="185">
        <f t="shared" ref="H261:H324" si="9">IF(OR(E261=0,F261=0),0,F261/E261-1)</f>
        <v>0.29545153765167642</v>
      </c>
    </row>
    <row r="262" spans="1:8" x14ac:dyDescent="0.25">
      <c r="A262" t="str">
        <f t="shared" si="8"/>
        <v>Г3077 Ф8,8</v>
      </c>
      <c r="B262" s="118" t="s">
        <v>551</v>
      </c>
      <c r="C262" s="117">
        <v>8.8000000000000007</v>
      </c>
      <c r="D262" s="183">
        <v>293.60000000000002</v>
      </c>
      <c r="E262" s="119">
        <f>'16'!D11</f>
        <v>25131.949499999999</v>
      </c>
      <c r="F262" s="119">
        <f>'16'!E11</f>
        <v>32562.453000000001</v>
      </c>
      <c r="G262" s="118" t="s">
        <v>540</v>
      </c>
      <c r="H262" s="185">
        <f t="shared" si="9"/>
        <v>0.29565965425801943</v>
      </c>
    </row>
    <row r="263" spans="1:8" x14ac:dyDescent="0.25">
      <c r="A263" t="str">
        <f t="shared" si="8"/>
        <v>Г3077 Ф10,5</v>
      </c>
      <c r="B263" s="118" t="s">
        <v>551</v>
      </c>
      <c r="C263" s="117">
        <v>10.5</v>
      </c>
      <c r="D263" s="183">
        <v>387.5</v>
      </c>
      <c r="E263" s="119">
        <f>'16'!D12</f>
        <v>29997.407999999999</v>
      </c>
      <c r="F263" s="119">
        <f>'16'!E12</f>
        <v>38849.726999999999</v>
      </c>
      <c r="G263" s="118" t="s">
        <v>540</v>
      </c>
      <c r="H263" s="185">
        <f t="shared" si="9"/>
        <v>0.29510279688165064</v>
      </c>
    </row>
    <row r="264" spans="1:8" x14ac:dyDescent="0.25">
      <c r="A264" t="str">
        <f t="shared" si="8"/>
        <v>Г3077 Ф11,5</v>
      </c>
      <c r="B264" s="118" t="s">
        <v>551</v>
      </c>
      <c r="C264" s="117">
        <v>11.5</v>
      </c>
      <c r="D264" s="183">
        <v>487</v>
      </c>
      <c r="E264" s="119">
        <f>'16'!D13</f>
        <v>35184.260999999999</v>
      </c>
      <c r="F264" s="119">
        <f>'16'!E13</f>
        <v>45554.019</v>
      </c>
      <c r="G264" s="118" t="s">
        <v>540</v>
      </c>
      <c r="H264" s="185">
        <f t="shared" si="9"/>
        <v>0.29472717929189995</v>
      </c>
    </row>
    <row r="265" spans="1:8" x14ac:dyDescent="0.25">
      <c r="A265" t="str">
        <f t="shared" si="8"/>
        <v>Г3077 Ф12</v>
      </c>
      <c r="B265" s="118" t="s">
        <v>551</v>
      </c>
      <c r="C265" s="117">
        <v>12</v>
      </c>
      <c r="D265" s="183">
        <v>530</v>
      </c>
      <c r="E265" s="119">
        <f>'16'!D14</f>
        <v>37503.018000000004</v>
      </c>
      <c r="F265" s="119">
        <f>'16'!E14</f>
        <v>48565.786500000002</v>
      </c>
      <c r="G265" s="118" t="s">
        <v>540</v>
      </c>
      <c r="H265" s="185">
        <f t="shared" si="9"/>
        <v>0.29498341973437969</v>
      </c>
    </row>
    <row r="266" spans="1:8" x14ac:dyDescent="0.25">
      <c r="A266" t="str">
        <f t="shared" si="8"/>
        <v>Г3077 Ф13</v>
      </c>
      <c r="B266" s="118" t="s">
        <v>551</v>
      </c>
      <c r="C266" s="117">
        <v>13</v>
      </c>
      <c r="D266" s="183">
        <v>597.29999999999995</v>
      </c>
      <c r="E266" s="119">
        <f>'16'!D15</f>
        <v>40990.015500000001</v>
      </c>
      <c r="F266" s="119">
        <f>'16'!E15</f>
        <v>53075.326500000003</v>
      </c>
      <c r="G266" s="118" t="s">
        <v>540</v>
      </c>
      <c r="H266" s="185">
        <f t="shared" si="9"/>
        <v>0.29483548255794156</v>
      </c>
    </row>
    <row r="267" spans="1:8" x14ac:dyDescent="0.25">
      <c r="A267" t="str">
        <f t="shared" si="8"/>
        <v>Г3077 Ф14</v>
      </c>
      <c r="B267" s="118" t="s">
        <v>551</v>
      </c>
      <c r="C267" s="117">
        <v>14</v>
      </c>
      <c r="D267" s="183">
        <v>719</v>
      </c>
      <c r="E267" s="119">
        <f>'16'!D16</f>
        <v>48693.603000000003</v>
      </c>
      <c r="F267" s="119">
        <f>'16'!E16</f>
        <v>63047.008499999996</v>
      </c>
      <c r="G267" s="118" t="s">
        <v>540</v>
      </c>
      <c r="H267" s="185">
        <f t="shared" si="9"/>
        <v>0.29476983865827289</v>
      </c>
    </row>
    <row r="268" spans="1:8" x14ac:dyDescent="0.25">
      <c r="A268" t="str">
        <f t="shared" si="8"/>
        <v>Г3077 Ф15</v>
      </c>
      <c r="B268" s="118" t="s">
        <v>551</v>
      </c>
      <c r="C268" s="117">
        <v>15</v>
      </c>
      <c r="D268" s="183">
        <v>852.5</v>
      </c>
      <c r="E268" s="119">
        <f>'16'!D17</f>
        <v>57221.22</v>
      </c>
      <c r="F268" s="119">
        <f>'16'!E17</f>
        <v>74131.921500000011</v>
      </c>
      <c r="G268" s="118" t="s">
        <v>540</v>
      </c>
      <c r="H268" s="185">
        <f t="shared" si="9"/>
        <v>0.29553199844393419</v>
      </c>
    </row>
    <row r="269" spans="1:8" x14ac:dyDescent="0.25">
      <c r="A269" t="str">
        <f t="shared" si="8"/>
        <v>Г3077 Ф16,5</v>
      </c>
      <c r="B269" s="118" t="s">
        <v>551</v>
      </c>
      <c r="C269" s="117">
        <v>16.5</v>
      </c>
      <c r="D269" s="183">
        <v>996.5</v>
      </c>
      <c r="E269" s="119">
        <f>'16'!D18</f>
        <v>66093.1005</v>
      </c>
      <c r="F269" s="119">
        <f>'16'!E18</f>
        <v>85643.407500000001</v>
      </c>
      <c r="G269" s="118" t="s">
        <v>540</v>
      </c>
      <c r="H269" s="185">
        <f t="shared" si="9"/>
        <v>0.29579951389933656</v>
      </c>
    </row>
    <row r="270" spans="1:8" x14ac:dyDescent="0.25">
      <c r="A270" t="str">
        <f t="shared" si="8"/>
        <v>Г3077 Ф17,5</v>
      </c>
      <c r="B270" s="118" t="s">
        <v>551</v>
      </c>
      <c r="C270" s="117">
        <v>17.5</v>
      </c>
      <c r="D270" s="183">
        <v>1155</v>
      </c>
      <c r="E270" s="119">
        <f>'16'!D19</f>
        <v>75306.031499999997</v>
      </c>
      <c r="F270" s="119">
        <f>'16'!E19</f>
        <v>97550.554499999998</v>
      </c>
      <c r="G270" s="118" t="s">
        <v>540</v>
      </c>
      <c r="H270" s="185">
        <f t="shared" si="9"/>
        <v>0.29538833154420052</v>
      </c>
    </row>
    <row r="271" spans="1:8" x14ac:dyDescent="0.25">
      <c r="A271" t="str">
        <f t="shared" si="8"/>
        <v>Г3077 Ф19,5</v>
      </c>
      <c r="B271" s="118" t="s">
        <v>551</v>
      </c>
      <c r="C271" s="117">
        <v>19.5</v>
      </c>
      <c r="D271" s="183">
        <v>1370</v>
      </c>
      <c r="E271" s="119">
        <f>'16'!D20</f>
        <v>85921.405500000008</v>
      </c>
      <c r="F271" s="119">
        <f>'16'!E20</f>
        <v>111291.3795</v>
      </c>
      <c r="G271" s="118" t="s">
        <v>540</v>
      </c>
      <c r="H271" s="185">
        <f t="shared" si="9"/>
        <v>0.29526954141829043</v>
      </c>
    </row>
    <row r="272" spans="1:8" x14ac:dyDescent="0.25">
      <c r="A272" t="str">
        <f t="shared" si="8"/>
        <v>Г3077 Ф20,5</v>
      </c>
      <c r="B272" s="118" t="s">
        <v>551</v>
      </c>
      <c r="C272" s="117">
        <v>20.5</v>
      </c>
      <c r="D272" s="183">
        <v>1550</v>
      </c>
      <c r="E272" s="119">
        <f>'16'!D21</f>
        <v>96265.984500000006</v>
      </c>
      <c r="F272" s="119">
        <f>'16'!E21</f>
        <v>124711.41900000001</v>
      </c>
      <c r="G272" s="118" t="s">
        <v>540</v>
      </c>
      <c r="H272" s="185">
        <f t="shared" si="9"/>
        <v>0.29548790933520253</v>
      </c>
    </row>
    <row r="273" spans="1:8" x14ac:dyDescent="0.25">
      <c r="A273" t="str">
        <f t="shared" si="8"/>
        <v>Г3077 Ф22</v>
      </c>
      <c r="B273" s="118" t="s">
        <v>551</v>
      </c>
      <c r="C273" s="117">
        <v>22</v>
      </c>
      <c r="D273" s="183">
        <v>1745</v>
      </c>
      <c r="E273" s="119">
        <f>'16'!D22</f>
        <v>107768.577</v>
      </c>
      <c r="F273" s="119">
        <f>'16'!E22</f>
        <v>139617.20850000001</v>
      </c>
      <c r="G273" s="118" t="s">
        <v>540</v>
      </c>
      <c r="H273" s="185">
        <f t="shared" si="9"/>
        <v>0.29552799514092132</v>
      </c>
    </row>
    <row r="274" spans="1:8" x14ac:dyDescent="0.25">
      <c r="A274" t="str">
        <f t="shared" si="8"/>
        <v>Г3077 Ф23</v>
      </c>
      <c r="B274" s="118" t="s">
        <v>551</v>
      </c>
      <c r="C274" s="117">
        <v>23</v>
      </c>
      <c r="D274" s="183">
        <v>1950</v>
      </c>
      <c r="E274" s="119">
        <f>'16'!D23</f>
        <v>119021.868</v>
      </c>
      <c r="F274" s="119">
        <f>'16'!E23</f>
        <v>154194.2115</v>
      </c>
      <c r="G274" s="118" t="s">
        <v>540</v>
      </c>
      <c r="H274" s="185">
        <f t="shared" si="9"/>
        <v>0.29551160716113101</v>
      </c>
    </row>
    <row r="275" spans="1:8" x14ac:dyDescent="0.25">
      <c r="A275" t="str">
        <f t="shared" si="8"/>
        <v>Г3077 Ф25,5</v>
      </c>
      <c r="B275" s="118" t="s">
        <v>551</v>
      </c>
      <c r="C275" s="117">
        <v>25.5</v>
      </c>
      <c r="D275" s="183">
        <v>2390</v>
      </c>
      <c r="E275" s="119">
        <f>'16'!D24</f>
        <v>145838.217</v>
      </c>
      <c r="F275" s="119">
        <f>'16'!E24</f>
        <v>188806.94700000001</v>
      </c>
      <c r="G275" s="118" t="s">
        <v>540</v>
      </c>
      <c r="H275" s="185">
        <f t="shared" si="9"/>
        <v>0.29463285333500755</v>
      </c>
    </row>
    <row r="276" spans="1:8" x14ac:dyDescent="0.25">
      <c r="A276" t="str">
        <f t="shared" si="8"/>
        <v>Г3077 Ф28</v>
      </c>
      <c r="B276" s="118" t="s">
        <v>551</v>
      </c>
      <c r="C276" s="117">
        <v>28</v>
      </c>
      <c r="D276" s="183">
        <v>2880</v>
      </c>
      <c r="E276" s="119">
        <f>'16'!D25</f>
        <v>175386.288</v>
      </c>
      <c r="F276" s="119">
        <f>'16'!E25</f>
        <v>227224.04250000001</v>
      </c>
      <c r="G276" s="118" t="s">
        <v>540</v>
      </c>
      <c r="H276" s="185">
        <f t="shared" si="9"/>
        <v>0.29556332533818153</v>
      </c>
    </row>
    <row r="277" spans="1:8" x14ac:dyDescent="0.25">
      <c r="A277" t="str">
        <f t="shared" si="8"/>
        <v>Г3077 Ф30,5</v>
      </c>
      <c r="B277" s="118" t="s">
        <v>551</v>
      </c>
      <c r="C277" s="117">
        <v>30.5</v>
      </c>
      <c r="D277" s="183">
        <v>3410</v>
      </c>
      <c r="E277" s="119">
        <f>'16'!D26</f>
        <v>206730.13200000001</v>
      </c>
      <c r="F277" s="119">
        <f>'16'!E26</f>
        <v>267672.46799999999</v>
      </c>
      <c r="G277" s="118" t="s">
        <v>540</v>
      </c>
      <c r="H277" s="185">
        <f t="shared" si="9"/>
        <v>0.29479174327620505</v>
      </c>
    </row>
    <row r="278" spans="1:8" x14ac:dyDescent="0.25">
      <c r="A278" t="str">
        <f t="shared" si="8"/>
        <v>Г3077 Ф32,5</v>
      </c>
      <c r="B278" s="118" t="s">
        <v>551</v>
      </c>
      <c r="C278" s="117">
        <v>32.5</v>
      </c>
      <c r="D278" s="183">
        <v>3990</v>
      </c>
      <c r="E278" s="119">
        <f>'16'!D27</f>
        <v>235915.81650000002</v>
      </c>
      <c r="F278" s="119">
        <f>'16'!E27</f>
        <v>305591.45399999997</v>
      </c>
      <c r="G278" s="118" t="s">
        <v>540</v>
      </c>
      <c r="H278" s="185">
        <f t="shared" si="9"/>
        <v>0.29534110316846829</v>
      </c>
    </row>
    <row r="279" spans="1:8" x14ac:dyDescent="0.25">
      <c r="A279" t="str">
        <f t="shared" si="8"/>
        <v>Г3077 Ф35</v>
      </c>
      <c r="B279" s="118" t="s">
        <v>551</v>
      </c>
      <c r="C279" s="117">
        <v>35</v>
      </c>
      <c r="D279" s="183">
        <v>4610</v>
      </c>
      <c r="E279" s="119">
        <f>'16'!D28</f>
        <v>272341.23000000004</v>
      </c>
      <c r="F279" s="119">
        <f>'16'!E28</f>
        <v>352902.16499999998</v>
      </c>
      <c r="G279" s="118" t="s">
        <v>540</v>
      </c>
      <c r="H279" s="185">
        <f t="shared" si="9"/>
        <v>0.29580880941163379</v>
      </c>
    </row>
    <row r="280" spans="1:8" x14ac:dyDescent="0.25">
      <c r="A280" t="str">
        <f t="shared" si="8"/>
        <v>Г3077 Ф37</v>
      </c>
      <c r="B280" s="118" t="s">
        <v>551</v>
      </c>
      <c r="C280" s="117">
        <v>37</v>
      </c>
      <c r="D280" s="183">
        <v>5035</v>
      </c>
      <c r="E280" s="119">
        <f>'16'!D29</f>
        <v>295720.84500000003</v>
      </c>
      <c r="F280" s="119">
        <f>'16'!E29</f>
        <v>382841.71799999999</v>
      </c>
      <c r="G280" s="118" t="s">
        <v>540</v>
      </c>
      <c r="H280" s="185">
        <f t="shared" si="9"/>
        <v>0.29460511314310622</v>
      </c>
    </row>
    <row r="281" spans="1:8" x14ac:dyDescent="0.25">
      <c r="A281" t="str">
        <f t="shared" si="8"/>
        <v>Г3077 Ф39</v>
      </c>
      <c r="B281" s="118" t="s">
        <v>551</v>
      </c>
      <c r="C281" s="117">
        <v>39</v>
      </c>
      <c r="D281" s="183">
        <v>5475</v>
      </c>
      <c r="E281" s="119">
        <f>'16'!D30</f>
        <v>320262.29550000001</v>
      </c>
      <c r="F281" s="119">
        <f>'16'!E30</f>
        <v>414926.21100000001</v>
      </c>
      <c r="G281" s="118" t="s">
        <v>540</v>
      </c>
      <c r="H281" s="185">
        <f t="shared" si="9"/>
        <v>0.29558245485066781</v>
      </c>
    </row>
    <row r="282" spans="1:8" x14ac:dyDescent="0.25">
      <c r="A282" t="str">
        <f t="shared" si="8"/>
        <v>Г3077 Ф40</v>
      </c>
      <c r="B282" s="118" t="s">
        <v>551</v>
      </c>
      <c r="C282" s="117">
        <v>40</v>
      </c>
      <c r="D282" s="183">
        <v>5830</v>
      </c>
      <c r="E282" s="119">
        <f>'16'!D31</f>
        <v>336683.64450000005</v>
      </c>
      <c r="F282" s="119">
        <f>'16'!E31</f>
        <v>436068.87450000003</v>
      </c>
      <c r="G282" s="118" t="s">
        <v>540</v>
      </c>
      <c r="H282" s="185">
        <f t="shared" si="9"/>
        <v>0.29518876732962296</v>
      </c>
    </row>
    <row r="283" spans="1:8" x14ac:dyDescent="0.25">
      <c r="A283" t="str">
        <f t="shared" si="8"/>
        <v>Г3077 Ф41</v>
      </c>
      <c r="B283" s="118" t="s">
        <v>551</v>
      </c>
      <c r="C283" s="117">
        <v>41</v>
      </c>
      <c r="D283" s="183">
        <v>6200</v>
      </c>
      <c r="E283" s="119">
        <f>'16'!D32</f>
        <v>357078.71849999996</v>
      </c>
      <c r="F283" s="119">
        <f>'16'!E32</f>
        <v>462484.97400000005</v>
      </c>
      <c r="G283" s="118" t="s">
        <v>540</v>
      </c>
      <c r="H283" s="185">
        <f t="shared" si="9"/>
        <v>0.29519052813560509</v>
      </c>
    </row>
    <row r="284" spans="1:8" x14ac:dyDescent="0.25">
      <c r="A284" t="str">
        <f t="shared" si="8"/>
        <v>Г3077 Ф43,5</v>
      </c>
      <c r="B284" s="118" t="s">
        <v>551</v>
      </c>
      <c r="C284" s="117">
        <v>43.5</v>
      </c>
      <c r="D284" s="183">
        <v>6975</v>
      </c>
      <c r="E284" s="119">
        <f>'16'!D33</f>
        <v>400759.99950000003</v>
      </c>
      <c r="F284" s="119">
        <f>'16'!E33</f>
        <v>0</v>
      </c>
      <c r="G284" s="118" t="s">
        <v>540</v>
      </c>
      <c r="H284" s="185">
        <f t="shared" si="9"/>
        <v>0</v>
      </c>
    </row>
    <row r="285" spans="1:8" x14ac:dyDescent="0.25">
      <c r="A285" t="str">
        <f t="shared" si="8"/>
        <v>Г3077 Ф45</v>
      </c>
      <c r="B285" s="118" t="s">
        <v>551</v>
      </c>
      <c r="C285" s="117">
        <v>45</v>
      </c>
      <c r="D285" s="183">
        <v>7370</v>
      </c>
      <c r="E285" s="119">
        <f>'16'!D34</f>
        <v>420940.29600000003</v>
      </c>
      <c r="F285" s="119">
        <f>'16'!E34</f>
        <v>545197.36950000003</v>
      </c>
      <c r="G285" s="118" t="s">
        <v>540</v>
      </c>
      <c r="H285" s="185">
        <f t="shared" si="9"/>
        <v>0.29518930518355502</v>
      </c>
    </row>
    <row r="286" spans="1:8" x14ac:dyDescent="0.25">
      <c r="A286" t="str">
        <f t="shared" si="8"/>
        <v>Г3077 Ф46</v>
      </c>
      <c r="B286" s="118" t="s">
        <v>551</v>
      </c>
      <c r="C286" s="117">
        <v>46</v>
      </c>
      <c r="D286" s="183">
        <v>7790</v>
      </c>
      <c r="E286" s="119">
        <f>'16'!D35</f>
        <v>444906.03150000004</v>
      </c>
      <c r="F286" s="119">
        <f>'16'!E35</f>
        <v>576235.47450000001</v>
      </c>
      <c r="G286" s="118" t="s">
        <v>540</v>
      </c>
      <c r="H286" s="185">
        <f t="shared" si="9"/>
        <v>0.29518467654219682</v>
      </c>
    </row>
    <row r="287" spans="1:8" x14ac:dyDescent="0.25">
      <c r="A287" t="str">
        <f t="shared" si="8"/>
        <v>Г3079 Ф5,8</v>
      </c>
      <c r="B287" s="118" t="s">
        <v>552</v>
      </c>
      <c r="C287" s="117">
        <v>5.8</v>
      </c>
      <c r="D287" s="183">
        <v>124</v>
      </c>
      <c r="E287" s="119">
        <f>'17'!D6</f>
        <v>17147.067000000003</v>
      </c>
      <c r="F287" s="119">
        <f>'17'!E6</f>
        <v>22755.201000000001</v>
      </c>
      <c r="G287" s="118" t="s">
        <v>540</v>
      </c>
      <c r="H287" s="185">
        <f t="shared" si="9"/>
        <v>0.32706083203617253</v>
      </c>
    </row>
    <row r="288" spans="1:8" x14ac:dyDescent="0.25">
      <c r="A288" t="str">
        <f t="shared" si="8"/>
        <v>Г3079 Ф6,5</v>
      </c>
      <c r="B288" s="118" t="s">
        <v>552</v>
      </c>
      <c r="C288" s="117">
        <v>6.5</v>
      </c>
      <c r="D288" s="183">
        <v>157</v>
      </c>
      <c r="E288" s="119">
        <f>'17'!D7</f>
        <v>20227.956000000002</v>
      </c>
      <c r="F288" s="119">
        <f>'17'!E7</f>
        <v>26622.078000000001</v>
      </c>
      <c r="G288" s="118" t="s">
        <v>540</v>
      </c>
      <c r="H288" s="185">
        <f t="shared" si="9"/>
        <v>0.3161032187335191</v>
      </c>
    </row>
    <row r="289" spans="1:8" x14ac:dyDescent="0.25">
      <c r="A289" t="str">
        <f t="shared" si="8"/>
        <v>Г3079 Ф8,5</v>
      </c>
      <c r="B289" s="118" t="s">
        <v>552</v>
      </c>
      <c r="C289" s="117">
        <v>8.5</v>
      </c>
      <c r="D289" s="183">
        <v>269</v>
      </c>
      <c r="E289" s="119">
        <f>'17'!D8</f>
        <v>29888.6175</v>
      </c>
      <c r="F289" s="119">
        <f>'17'!E8</f>
        <v>38784.952500000007</v>
      </c>
      <c r="G289" s="118" t="s">
        <v>540</v>
      </c>
      <c r="H289" s="185">
        <f t="shared" si="9"/>
        <v>0.29764959854700557</v>
      </c>
    </row>
    <row r="290" spans="1:8" x14ac:dyDescent="0.25">
      <c r="A290" t="str">
        <f t="shared" si="8"/>
        <v>Г3079 Ф11,5</v>
      </c>
      <c r="B290" s="118" t="s">
        <v>552</v>
      </c>
      <c r="C290" s="117">
        <v>11.5</v>
      </c>
      <c r="D290" s="183">
        <v>468</v>
      </c>
      <c r="E290" s="119">
        <f>'17'!D9</f>
        <v>36237.663</v>
      </c>
      <c r="F290" s="119">
        <f>'17'!E9</f>
        <v>47328.603000000003</v>
      </c>
      <c r="G290" s="118" t="s">
        <v>540</v>
      </c>
      <c r="H290" s="185">
        <f t="shared" si="9"/>
        <v>0.30606112761741833</v>
      </c>
    </row>
    <row r="291" spans="1:8" x14ac:dyDescent="0.25">
      <c r="A291" t="str">
        <f t="shared" si="8"/>
        <v>Г3079 Ф13,5</v>
      </c>
      <c r="B291" s="118" t="s">
        <v>552</v>
      </c>
      <c r="C291" s="117">
        <v>13.5</v>
      </c>
      <c r="D291" s="183">
        <v>662.5</v>
      </c>
      <c r="E291" s="119">
        <f>'17'!D10</f>
        <v>46851.031499999997</v>
      </c>
      <c r="F291" s="119">
        <f>'17'!E10</f>
        <v>61007.089500000002</v>
      </c>
      <c r="G291" s="118" t="s">
        <v>540</v>
      </c>
      <c r="H291" s="185">
        <f t="shared" si="9"/>
        <v>0.30215040196073395</v>
      </c>
    </row>
    <row r="292" spans="1:8" x14ac:dyDescent="0.25">
      <c r="A292" t="str">
        <f t="shared" si="8"/>
        <v>Г3079 Ф15,5</v>
      </c>
      <c r="B292" s="118" t="s">
        <v>552</v>
      </c>
      <c r="C292" s="117">
        <v>15.5</v>
      </c>
      <c r="D292" s="183">
        <v>851.5</v>
      </c>
      <c r="E292" s="119">
        <f>'17'!D11</f>
        <v>59099.3655</v>
      </c>
      <c r="F292" s="119">
        <f>'17'!E11</f>
        <v>76565.989500000011</v>
      </c>
      <c r="G292" s="118" t="s">
        <v>540</v>
      </c>
      <c r="H292" s="185">
        <f t="shared" si="9"/>
        <v>0.29554672630114798</v>
      </c>
    </row>
    <row r="293" spans="1:8" x14ac:dyDescent="0.25">
      <c r="A293" t="str">
        <f t="shared" si="8"/>
        <v>Г3079 Ф17</v>
      </c>
      <c r="B293" s="118" t="s">
        <v>552</v>
      </c>
      <c r="C293" s="117">
        <v>17</v>
      </c>
      <c r="D293" s="183">
        <v>1065</v>
      </c>
      <c r="E293" s="119">
        <f>'17'!D12</f>
        <v>74218.147500000006</v>
      </c>
      <c r="F293" s="119">
        <f>'17'!E12</f>
        <v>96124.391999999993</v>
      </c>
      <c r="G293" s="118" t="s">
        <v>540</v>
      </c>
      <c r="H293" s="185">
        <f t="shared" si="9"/>
        <v>0.29516021671114845</v>
      </c>
    </row>
    <row r="294" spans="1:8" x14ac:dyDescent="0.25">
      <c r="A294" t="str">
        <f t="shared" si="8"/>
        <v>Г3079 Ф19,5</v>
      </c>
      <c r="B294" s="118" t="s">
        <v>552</v>
      </c>
      <c r="C294" s="117">
        <v>19.5</v>
      </c>
      <c r="D294" s="183">
        <v>1350</v>
      </c>
      <c r="E294" s="119">
        <f>'17'!D13</f>
        <v>87721.997999999992</v>
      </c>
      <c r="F294" s="119">
        <f>'17'!E13</f>
        <v>113608.53000000001</v>
      </c>
      <c r="G294" s="118" t="s">
        <v>540</v>
      </c>
      <c r="H294" s="185">
        <f t="shared" si="9"/>
        <v>0.29509738252883877</v>
      </c>
    </row>
    <row r="295" spans="1:8" x14ac:dyDescent="0.25">
      <c r="A295" t="str">
        <f t="shared" si="8"/>
        <v>Г3079 Ф21,5</v>
      </c>
      <c r="B295" s="118" t="s">
        <v>552</v>
      </c>
      <c r="C295" s="117">
        <v>21.5</v>
      </c>
      <c r="D295" s="183">
        <v>1670</v>
      </c>
      <c r="E295" s="119">
        <f>'17'!D14</f>
        <v>102391.989</v>
      </c>
      <c r="F295" s="119">
        <f>'17'!E14</f>
        <v>132666.8175</v>
      </c>
      <c r="G295" s="118" t="s">
        <v>540</v>
      </c>
      <c r="H295" s="185">
        <f t="shared" si="9"/>
        <v>0.29567575350059849</v>
      </c>
    </row>
    <row r="296" spans="1:8" x14ac:dyDescent="0.25">
      <c r="A296" t="str">
        <f t="shared" si="8"/>
        <v>Г3079 Ф22</v>
      </c>
      <c r="B296" s="118" t="s">
        <v>552</v>
      </c>
      <c r="C296" s="117">
        <v>22</v>
      </c>
      <c r="D296" s="183"/>
      <c r="E296" s="119"/>
      <c r="F296" s="119"/>
      <c r="G296" s="118" t="s">
        <v>540</v>
      </c>
      <c r="H296" s="185">
        <f t="shared" si="9"/>
        <v>0</v>
      </c>
    </row>
    <row r="297" spans="1:8" x14ac:dyDescent="0.25">
      <c r="A297" t="str">
        <f t="shared" si="8"/>
        <v>Г3079 Ф23</v>
      </c>
      <c r="B297" s="118" t="s">
        <v>552</v>
      </c>
      <c r="C297" s="117">
        <v>23</v>
      </c>
      <c r="D297" s="183">
        <v>1930</v>
      </c>
      <c r="E297" s="119">
        <f>'17'!D16</f>
        <v>115554.88350000001</v>
      </c>
      <c r="F297" s="119">
        <f>'17'!E16</f>
        <v>149724.81299999999</v>
      </c>
      <c r="G297" s="118" t="s">
        <v>540</v>
      </c>
      <c r="H297" s="185">
        <f t="shared" si="9"/>
        <v>0.29570303274980136</v>
      </c>
    </row>
    <row r="298" spans="1:8" x14ac:dyDescent="0.25">
      <c r="A298" t="str">
        <f t="shared" si="8"/>
        <v>Г3079 Ф25</v>
      </c>
      <c r="B298" s="118" t="s">
        <v>552</v>
      </c>
      <c r="C298" s="117">
        <v>25</v>
      </c>
      <c r="D298" s="183">
        <v>2245</v>
      </c>
      <c r="E298" s="119">
        <f>'17'!D17</f>
        <v>132795.579</v>
      </c>
      <c r="F298" s="119">
        <f>'17'!E17</f>
        <v>173973.90150000001</v>
      </c>
      <c r="G298" s="118" t="s">
        <v>540</v>
      </c>
      <c r="H298" s="185">
        <f t="shared" si="9"/>
        <v>0.31008805270542927</v>
      </c>
    </row>
    <row r="299" spans="1:8" x14ac:dyDescent="0.25">
      <c r="A299" t="str">
        <f t="shared" si="8"/>
        <v>Г3079 Ф27</v>
      </c>
      <c r="B299" s="118" t="s">
        <v>552</v>
      </c>
      <c r="C299" s="117">
        <v>27</v>
      </c>
      <c r="D299" s="183">
        <v>2650</v>
      </c>
      <c r="E299" s="119">
        <f>'17'!D18</f>
        <v>155969.709</v>
      </c>
      <c r="F299" s="119">
        <f>'17'!E18</f>
        <v>202066.3995</v>
      </c>
      <c r="G299" s="118" t="s">
        <v>540</v>
      </c>
      <c r="H299" s="185">
        <f t="shared" si="9"/>
        <v>0.29554899342666596</v>
      </c>
    </row>
    <row r="300" spans="1:8" x14ac:dyDescent="0.25">
      <c r="A300" t="str">
        <f t="shared" si="8"/>
        <v>Г3079 Ф29</v>
      </c>
      <c r="B300" s="118" t="s">
        <v>552</v>
      </c>
      <c r="C300" s="117">
        <v>29</v>
      </c>
      <c r="D300" s="183">
        <v>3015</v>
      </c>
      <c r="E300" s="119">
        <f>'17'!D19</f>
        <v>175793.25750000001</v>
      </c>
      <c r="F300" s="119">
        <f>'17'!E19</f>
        <v>227760.15150000001</v>
      </c>
      <c r="G300" s="118" t="s">
        <v>540</v>
      </c>
      <c r="H300" s="185">
        <f t="shared" si="9"/>
        <v>0.29561369269239468</v>
      </c>
    </row>
    <row r="301" spans="1:8" x14ac:dyDescent="0.25">
      <c r="A301" t="str">
        <f t="shared" si="8"/>
        <v>Г3079 Ф30,5</v>
      </c>
      <c r="B301" s="118" t="s">
        <v>552</v>
      </c>
      <c r="C301" s="117">
        <v>30.5</v>
      </c>
      <c r="D301" s="183">
        <v>3405</v>
      </c>
      <c r="E301" s="119">
        <f>'17'!D20</f>
        <v>198042.978</v>
      </c>
      <c r="F301" s="119">
        <f>'17'!E20</f>
        <v>256462.34250000003</v>
      </c>
      <c r="G301" s="118" t="s">
        <v>540</v>
      </c>
      <c r="H301" s="185">
        <f t="shared" si="9"/>
        <v>0.29498326620800475</v>
      </c>
    </row>
    <row r="302" spans="1:8" x14ac:dyDescent="0.25">
      <c r="A302" t="str">
        <f t="shared" si="8"/>
        <v>Г3079 Ф33</v>
      </c>
      <c r="B302" s="118" t="s">
        <v>552</v>
      </c>
      <c r="C302" s="117">
        <v>33</v>
      </c>
      <c r="D302" s="183">
        <v>3905</v>
      </c>
      <c r="E302" s="119">
        <f>'17'!D21</f>
        <v>225796.557</v>
      </c>
      <c r="F302" s="119">
        <f>'17'!E21</f>
        <v>292387.14750000002</v>
      </c>
      <c r="G302" s="118" t="s">
        <v>540</v>
      </c>
      <c r="H302" s="185">
        <f t="shared" si="9"/>
        <v>0.29491410934135742</v>
      </c>
    </row>
    <row r="303" spans="1:8" x14ac:dyDescent="0.25">
      <c r="A303" t="str">
        <f t="shared" si="8"/>
        <v>Г3079 Ф35</v>
      </c>
      <c r="B303" s="118" t="s">
        <v>552</v>
      </c>
      <c r="C303" s="117">
        <v>35</v>
      </c>
      <c r="D303" s="183">
        <v>4435</v>
      </c>
      <c r="E303" s="119">
        <f>'17'!D22</f>
        <v>253336.13550000003</v>
      </c>
      <c r="F303" s="119">
        <f>'17'!E22</f>
        <v>328195.25549999997</v>
      </c>
      <c r="G303" s="118" t="s">
        <v>540</v>
      </c>
      <c r="H303" s="185">
        <f t="shared" si="9"/>
        <v>0.29549325781043168</v>
      </c>
    </row>
    <row r="304" spans="1:8" x14ac:dyDescent="0.25">
      <c r="A304" t="str">
        <f t="shared" si="8"/>
        <v>Г3079 Ф39</v>
      </c>
      <c r="B304" s="118" t="s">
        <v>552</v>
      </c>
      <c r="C304" s="117">
        <v>39</v>
      </c>
      <c r="D304" s="183">
        <v>5395</v>
      </c>
      <c r="E304" s="119">
        <f>'17'!D23</f>
        <v>307226.40900000004</v>
      </c>
      <c r="F304" s="119">
        <f>'17'!E23</f>
        <v>398104.3395</v>
      </c>
      <c r="G304" s="118" t="s">
        <v>540</v>
      </c>
      <c r="H304" s="185">
        <f t="shared" si="9"/>
        <v>0.29580116760079678</v>
      </c>
    </row>
    <row r="305" spans="1:8" x14ac:dyDescent="0.25">
      <c r="A305" t="str">
        <f t="shared" si="8"/>
        <v>Г3079 Ф43</v>
      </c>
      <c r="B305" s="118" t="s">
        <v>552</v>
      </c>
      <c r="C305" s="117">
        <v>43</v>
      </c>
      <c r="D305" s="183">
        <v>6675</v>
      </c>
      <c r="E305" s="119">
        <f>'17'!D24</f>
        <v>361207.08750000002</v>
      </c>
      <c r="F305" s="119">
        <f>'17'!E24</f>
        <v>467952.33450000006</v>
      </c>
      <c r="G305" s="118" t="s">
        <v>540</v>
      </c>
      <c r="H305" s="185">
        <f t="shared" si="9"/>
        <v>0.29552367795108681</v>
      </c>
    </row>
    <row r="306" spans="1:8" x14ac:dyDescent="0.25">
      <c r="A306" t="str">
        <f t="shared" si="8"/>
        <v>Г3079 Ф47</v>
      </c>
      <c r="B306" s="118" t="s">
        <v>552</v>
      </c>
      <c r="C306" s="117">
        <v>47</v>
      </c>
      <c r="D306" s="183">
        <v>7845</v>
      </c>
      <c r="E306" s="119">
        <f>'17'!D25</f>
        <v>424223.20500000002</v>
      </c>
      <c r="F306" s="119">
        <f>'17'!E25</f>
        <v>549432.48149999999</v>
      </c>
      <c r="G306" s="118" t="s">
        <v>540</v>
      </c>
      <c r="H306" s="185">
        <f t="shared" si="9"/>
        <v>0.29514952276125483</v>
      </c>
    </row>
    <row r="307" spans="1:8" x14ac:dyDescent="0.25">
      <c r="A307" t="str">
        <f t="shared" si="8"/>
        <v>Г3079 Ф50</v>
      </c>
      <c r="B307" s="118" t="s">
        <v>552</v>
      </c>
      <c r="C307" s="117">
        <v>50</v>
      </c>
      <c r="D307" s="183">
        <v>9110</v>
      </c>
      <c r="E307" s="119">
        <f>'17'!D26</f>
        <v>491976.34500000003</v>
      </c>
      <c r="F307" s="119">
        <f>'17'!E26</f>
        <v>637393.92149999994</v>
      </c>
      <c r="G307" s="118" t="s">
        <v>540</v>
      </c>
      <c r="H307" s="185">
        <f t="shared" si="9"/>
        <v>0.29557839107081429</v>
      </c>
    </row>
    <row r="308" spans="1:8" x14ac:dyDescent="0.25">
      <c r="A308" t="str">
        <f t="shared" si="8"/>
        <v>Г3079 Ф52</v>
      </c>
      <c r="B308" s="118" t="s">
        <v>552</v>
      </c>
      <c r="C308" s="117">
        <v>52</v>
      </c>
      <c r="D308" s="183">
        <v>9910</v>
      </c>
      <c r="E308" s="119">
        <f>'17'!D27</f>
        <v>533866.39950000006</v>
      </c>
      <c r="F308" s="119">
        <f>'17'!E27</f>
        <v>691813.03800000006</v>
      </c>
      <c r="G308" s="118" t="s">
        <v>540</v>
      </c>
      <c r="H308" s="185">
        <f t="shared" si="9"/>
        <v>0.29585424115083314</v>
      </c>
    </row>
    <row r="309" spans="1:8" x14ac:dyDescent="0.25">
      <c r="A309" t="str">
        <f t="shared" si="8"/>
        <v>Г3079 Ф54</v>
      </c>
      <c r="B309" s="118" t="s">
        <v>552</v>
      </c>
      <c r="C309" s="117">
        <v>54</v>
      </c>
      <c r="D309" s="183">
        <v>10600</v>
      </c>
      <c r="E309" s="119">
        <f>'17'!D28</f>
        <v>569483.04</v>
      </c>
      <c r="F309" s="119">
        <f>'17'!E28</f>
        <v>737600.94449999998</v>
      </c>
      <c r="G309" s="118" t="s">
        <v>540</v>
      </c>
      <c r="H309" s="185">
        <f t="shared" si="9"/>
        <v>0.2952114333378566</v>
      </c>
    </row>
    <row r="310" spans="1:8" x14ac:dyDescent="0.25">
      <c r="A310" t="str">
        <f t="shared" si="8"/>
        <v>Г3079 Ф56</v>
      </c>
      <c r="B310" s="118" t="s">
        <v>552</v>
      </c>
      <c r="C310" s="117">
        <v>56</v>
      </c>
      <c r="D310" s="183">
        <v>11450</v>
      </c>
      <c r="E310" s="119">
        <f>'17'!D29</f>
        <v>609836.6925</v>
      </c>
      <c r="F310" s="119">
        <f>'17'!E29</f>
        <v>790246.70550000004</v>
      </c>
      <c r="G310" s="118" t="s">
        <v>540</v>
      </c>
      <c r="H310" s="185">
        <f t="shared" si="9"/>
        <v>0.29583331934393242</v>
      </c>
    </row>
    <row r="311" spans="1:8" x14ac:dyDescent="0.25">
      <c r="A311" t="str">
        <f t="shared" si="8"/>
        <v>Г3079 Ф58</v>
      </c>
      <c r="B311" s="118" t="s">
        <v>552</v>
      </c>
      <c r="C311" s="117">
        <v>58</v>
      </c>
      <c r="D311" s="183">
        <v>12050</v>
      </c>
      <c r="E311" s="119">
        <f>'17'!D30</f>
        <v>641658.94800000009</v>
      </c>
      <c r="F311" s="119">
        <f>'17'!E30</f>
        <v>830742.7905</v>
      </c>
      <c r="G311" s="118" t="s">
        <v>540</v>
      </c>
      <c r="H311" s="185">
        <f t="shared" si="9"/>
        <v>0.29467966291027214</v>
      </c>
    </row>
    <row r="312" spans="1:8" x14ac:dyDescent="0.25">
      <c r="A312" t="str">
        <f t="shared" si="8"/>
        <v>Г3079 Ф62</v>
      </c>
      <c r="B312" s="118" t="s">
        <v>552</v>
      </c>
      <c r="C312" s="117">
        <v>62</v>
      </c>
      <c r="D312" s="183">
        <v>13950</v>
      </c>
      <c r="E312" s="119" t="e">
        <f>'17'!#REF!</f>
        <v>#REF!</v>
      </c>
      <c r="F312" s="119" t="e">
        <f>'17'!#REF!</f>
        <v>#REF!</v>
      </c>
      <c r="G312" s="118" t="s">
        <v>540</v>
      </c>
      <c r="H312" s="185" t="e">
        <f t="shared" si="9"/>
        <v>#REF!</v>
      </c>
    </row>
    <row r="313" spans="1:8" x14ac:dyDescent="0.25">
      <c r="A313" t="str">
        <f t="shared" si="8"/>
        <v>Г3079 Ф66,5</v>
      </c>
      <c r="B313" s="118" t="s">
        <v>552</v>
      </c>
      <c r="C313" s="117">
        <v>66.5</v>
      </c>
      <c r="D313" s="183">
        <v>16450</v>
      </c>
      <c r="E313" s="119" t="e">
        <f>'17'!#REF!</f>
        <v>#REF!</v>
      </c>
      <c r="F313" s="119" t="e">
        <f>'17'!#REF!</f>
        <v>#REF!</v>
      </c>
      <c r="G313" s="118" t="s">
        <v>540</v>
      </c>
      <c r="H313" s="185" t="e">
        <f t="shared" si="9"/>
        <v>#REF!</v>
      </c>
    </row>
    <row r="314" spans="1:8" x14ac:dyDescent="0.25">
      <c r="A314" t="str">
        <f t="shared" si="8"/>
        <v>Г3079 Ф71</v>
      </c>
      <c r="B314" s="118" t="s">
        <v>552</v>
      </c>
      <c r="C314" s="117">
        <v>71</v>
      </c>
      <c r="D314" s="183">
        <v>19200</v>
      </c>
      <c r="E314" s="119" t="e">
        <f>'17'!#REF!</f>
        <v>#REF!</v>
      </c>
      <c r="F314" s="119" t="e">
        <f>'17'!#REF!</f>
        <v>#REF!</v>
      </c>
      <c r="G314" s="118" t="s">
        <v>540</v>
      </c>
      <c r="H314" s="185" t="e">
        <f t="shared" si="9"/>
        <v>#REF!</v>
      </c>
    </row>
    <row r="315" spans="1:8" x14ac:dyDescent="0.25">
      <c r="A315" t="str">
        <f t="shared" si="8"/>
        <v>Г3079 Ф75</v>
      </c>
      <c r="B315" s="118" t="s">
        <v>552</v>
      </c>
      <c r="C315" s="117">
        <v>75</v>
      </c>
      <c r="D315" s="183">
        <v>21150</v>
      </c>
      <c r="E315" s="119" t="e">
        <f>'17'!#REF!</f>
        <v>#REF!</v>
      </c>
      <c r="F315" s="119" t="e">
        <f>'17'!#REF!</f>
        <v>#REF!</v>
      </c>
      <c r="G315" s="118" t="s">
        <v>540</v>
      </c>
      <c r="H315" s="185" t="e">
        <f t="shared" si="9"/>
        <v>#REF!</v>
      </c>
    </row>
    <row r="316" spans="1:8" x14ac:dyDescent="0.25">
      <c r="A316" t="str">
        <f t="shared" si="8"/>
        <v>Г3081 Ф6,4</v>
      </c>
      <c r="B316" s="118" t="s">
        <v>553</v>
      </c>
      <c r="C316" s="117">
        <v>6.4</v>
      </c>
      <c r="D316" s="183">
        <v>167.7</v>
      </c>
      <c r="E316" s="119">
        <f>'18'!D6</f>
        <v>21898.3485</v>
      </c>
      <c r="F316" s="119">
        <f>'18'!E6</f>
        <v>28357.98</v>
      </c>
      <c r="G316" s="118" t="s">
        <v>538</v>
      </c>
      <c r="H316" s="185">
        <f t="shared" si="9"/>
        <v>0.29498258738552807</v>
      </c>
    </row>
    <row r="317" spans="1:8" x14ac:dyDescent="0.25">
      <c r="A317" t="str">
        <f t="shared" si="8"/>
        <v>Г3081 Ф7,7</v>
      </c>
      <c r="B317" s="118" t="s">
        <v>553</v>
      </c>
      <c r="C317" s="117">
        <v>7.7</v>
      </c>
      <c r="D317" s="183">
        <v>238.5</v>
      </c>
      <c r="E317" s="119">
        <f>'18'!D7</f>
        <v>25503.429</v>
      </c>
      <c r="F317" s="119">
        <f>'18'!E7</f>
        <v>33034.932000000001</v>
      </c>
      <c r="G317" s="118" t="s">
        <v>538</v>
      </c>
      <c r="H317" s="185">
        <f t="shared" si="9"/>
        <v>0.29531334786392849</v>
      </c>
    </row>
    <row r="318" spans="1:8" x14ac:dyDescent="0.25">
      <c r="A318" t="str">
        <f t="shared" si="8"/>
        <v>Г3081 Ф8,6</v>
      </c>
      <c r="B318" s="118" t="s">
        <v>553</v>
      </c>
      <c r="C318" s="117">
        <v>8.6</v>
      </c>
      <c r="D318" s="183">
        <v>315.8</v>
      </c>
      <c r="E318" s="119">
        <f>'18'!D8</f>
        <v>30589.7235</v>
      </c>
      <c r="F318" s="119">
        <f>'18'!E8</f>
        <v>39626.915999999997</v>
      </c>
      <c r="G318" s="118" t="s">
        <v>538</v>
      </c>
      <c r="H318" s="185">
        <f t="shared" si="9"/>
        <v>0.29543230425080491</v>
      </c>
    </row>
    <row r="319" spans="1:8" x14ac:dyDescent="0.25">
      <c r="A319" t="str">
        <f t="shared" si="8"/>
        <v>Г3081 Ф10</v>
      </c>
      <c r="B319" s="118" t="s">
        <v>553</v>
      </c>
      <c r="C319" s="117">
        <v>10</v>
      </c>
      <c r="D319" s="183">
        <v>421.5</v>
      </c>
      <c r="E319" s="119">
        <f>'18'!D9</f>
        <v>35736.529500000004</v>
      </c>
      <c r="F319" s="119">
        <f>'18'!E9</f>
        <v>46279.106999999996</v>
      </c>
      <c r="G319" s="118" t="s">
        <v>538</v>
      </c>
      <c r="H319" s="185">
        <f t="shared" si="9"/>
        <v>0.29500843107890451</v>
      </c>
    </row>
    <row r="320" spans="1:8" x14ac:dyDescent="0.25">
      <c r="A320" t="str">
        <f t="shared" si="8"/>
        <v>Г3081 Ф11,5</v>
      </c>
      <c r="B320" s="118" t="s">
        <v>553</v>
      </c>
      <c r="C320" s="117">
        <v>11.5</v>
      </c>
      <c r="D320" s="183">
        <v>529.5</v>
      </c>
      <c r="E320" s="119">
        <f>'18'!D10</f>
        <v>40313.195999999996</v>
      </c>
      <c r="F320" s="119">
        <f>'18'!E10</f>
        <v>52190.229000000007</v>
      </c>
      <c r="G320" s="118" t="s">
        <v>538</v>
      </c>
      <c r="H320" s="185">
        <f t="shared" si="9"/>
        <v>0.29461898778752271</v>
      </c>
    </row>
    <row r="321" spans="1:8" x14ac:dyDescent="0.25">
      <c r="A321" t="str">
        <f t="shared" si="8"/>
        <v>Г3081 Ф12,5</v>
      </c>
      <c r="B321" s="118" t="s">
        <v>553</v>
      </c>
      <c r="C321" s="117">
        <v>12.5</v>
      </c>
      <c r="D321" s="183">
        <v>650</v>
      </c>
      <c r="E321" s="119">
        <f>'18'!D11</f>
        <v>48064.968000000008</v>
      </c>
      <c r="F321" s="119">
        <f>'18'!E11</f>
        <v>62241.165000000008</v>
      </c>
      <c r="G321" s="118" t="s">
        <v>538</v>
      </c>
      <c r="H321" s="185">
        <f t="shared" si="9"/>
        <v>0.29493823859406287</v>
      </c>
    </row>
    <row r="322" spans="1:8" x14ac:dyDescent="0.25">
      <c r="A322" t="str">
        <f t="shared" si="8"/>
        <v>Г3081 Ф14</v>
      </c>
      <c r="B322" s="118" t="s">
        <v>553</v>
      </c>
      <c r="C322" s="117">
        <v>14</v>
      </c>
      <c r="D322" s="183">
        <v>782.5</v>
      </c>
      <c r="E322" s="119">
        <f>'18'!D12</f>
        <v>57048.81</v>
      </c>
      <c r="F322" s="119">
        <f>'18'!E12</f>
        <v>73860.087</v>
      </c>
      <c r="G322" s="118" t="s">
        <v>538</v>
      </c>
      <c r="H322" s="185">
        <f t="shared" si="9"/>
        <v>0.2946823430672787</v>
      </c>
    </row>
    <row r="323" spans="1:8" x14ac:dyDescent="0.25">
      <c r="A323" t="str">
        <f t="shared" si="8"/>
        <v>Г3081 Ф15</v>
      </c>
      <c r="B323" s="118" t="s">
        <v>553</v>
      </c>
      <c r="C323" s="117">
        <v>15</v>
      </c>
      <c r="D323" s="183">
        <v>927.6</v>
      </c>
      <c r="E323" s="119">
        <f>'18'!D13</f>
        <v>65863.706999999995</v>
      </c>
      <c r="F323" s="119">
        <f>'18'!E13</f>
        <v>85344.997499999998</v>
      </c>
      <c r="G323" s="118" t="s">
        <v>538</v>
      </c>
      <c r="H323" s="185">
        <f t="shared" si="9"/>
        <v>0.29578187119045696</v>
      </c>
    </row>
    <row r="324" spans="1:8" x14ac:dyDescent="0.25">
      <c r="A324" t="str">
        <f t="shared" ref="A324:A390" si="10">CONCATENATE(B324," Ф",C324)</f>
        <v>Г3081 Ф16,5</v>
      </c>
      <c r="B324" s="118" t="s">
        <v>553</v>
      </c>
      <c r="C324" s="117">
        <v>16.5</v>
      </c>
      <c r="D324" s="183">
        <v>1085</v>
      </c>
      <c r="E324" s="119">
        <f>'18'!D14</f>
        <v>74980.090500000006</v>
      </c>
      <c r="F324" s="119">
        <f>'18'!E14</f>
        <v>97087.452000000005</v>
      </c>
      <c r="G324" s="118" t="s">
        <v>538</v>
      </c>
      <c r="H324" s="185">
        <f t="shared" si="9"/>
        <v>0.29484308904641821</v>
      </c>
    </row>
    <row r="325" spans="1:8" x14ac:dyDescent="0.25">
      <c r="A325" t="str">
        <f t="shared" si="10"/>
        <v>Г3081 Ф17,5</v>
      </c>
      <c r="B325" s="118" t="s">
        <v>553</v>
      </c>
      <c r="C325" s="117">
        <v>17.5</v>
      </c>
      <c r="D325" s="183">
        <v>1255</v>
      </c>
      <c r="E325" s="119">
        <f>'18'!D15</f>
        <v>82543.576499999996</v>
      </c>
      <c r="F325" s="119">
        <f>'18'!E15</f>
        <v>106926.1725</v>
      </c>
      <c r="G325" s="118" t="s">
        <v>538</v>
      </c>
      <c r="H325" s="185">
        <f t="shared" ref="H325:H390" si="11">IF(OR(E325=0,F325=0),0,F325/E325-1)</f>
        <v>0.29539059287066394</v>
      </c>
    </row>
    <row r="326" spans="1:8" x14ac:dyDescent="0.25">
      <c r="A326" t="str">
        <f t="shared" si="10"/>
        <v>Г3081 Ф19</v>
      </c>
      <c r="B326" s="118" t="s">
        <v>553</v>
      </c>
      <c r="C326" s="117">
        <v>19</v>
      </c>
      <c r="D326" s="183">
        <v>1485</v>
      </c>
      <c r="E326" s="119">
        <f>'18'!D16</f>
        <v>95430.51</v>
      </c>
      <c r="F326" s="119">
        <f>'18'!E16</f>
        <v>123617.97</v>
      </c>
      <c r="G326" s="118" t="s">
        <v>538</v>
      </c>
      <c r="H326" s="185">
        <f t="shared" si="11"/>
        <v>0.29537157456247498</v>
      </c>
    </row>
    <row r="327" spans="1:8" x14ac:dyDescent="0.25">
      <c r="A327" t="str">
        <f t="shared" si="10"/>
        <v>Г3081 Ф20,5</v>
      </c>
      <c r="B327" s="118" t="s">
        <v>553</v>
      </c>
      <c r="C327" s="117">
        <v>20.5</v>
      </c>
      <c r="D327" s="183">
        <v>1681</v>
      </c>
      <c r="E327" s="119">
        <f>'18'!D17</f>
        <v>108153.58050000001</v>
      </c>
      <c r="F327" s="119">
        <f>'18'!E17</f>
        <v>140143.36350000001</v>
      </c>
      <c r="G327" s="118" t="s">
        <v>538</v>
      </c>
      <c r="H327" s="185">
        <f t="shared" si="11"/>
        <v>0.29578108142244997</v>
      </c>
    </row>
    <row r="328" spans="1:8" x14ac:dyDescent="0.25">
      <c r="A328" t="str">
        <f t="shared" si="10"/>
        <v>Г3081 Ф21,5</v>
      </c>
      <c r="B328" s="118" t="s">
        <v>553</v>
      </c>
      <c r="C328" s="117">
        <v>21.5</v>
      </c>
      <c r="D328" s="183">
        <v>1890</v>
      </c>
      <c r="E328" s="119">
        <f>'18'!D18</f>
        <v>119350.60200000001</v>
      </c>
      <c r="F328" s="119">
        <f>'18'!E18</f>
        <v>154543.3995</v>
      </c>
      <c r="G328" s="118" t="s">
        <v>538</v>
      </c>
      <c r="H328" s="185">
        <f t="shared" si="11"/>
        <v>0.29486904054325569</v>
      </c>
    </row>
    <row r="329" spans="1:8" x14ac:dyDescent="0.25">
      <c r="A329" t="str">
        <f t="shared" si="10"/>
        <v>Г3081 Ф22,5</v>
      </c>
      <c r="B329" s="118" t="s">
        <v>553</v>
      </c>
      <c r="C329" s="117">
        <v>22.5</v>
      </c>
      <c r="D329" s="183">
        <v>2115</v>
      </c>
      <c r="E329" s="119">
        <f>'18'!D19</f>
        <v>126410.34000000001</v>
      </c>
      <c r="F329" s="119">
        <f>'18'!E19</f>
        <v>163665.37950000001</v>
      </c>
      <c r="G329" s="118" t="s">
        <v>538</v>
      </c>
      <c r="H329" s="185">
        <f t="shared" si="11"/>
        <v>0.29471512773401276</v>
      </c>
    </row>
    <row r="330" spans="1:8" x14ac:dyDescent="0.25">
      <c r="A330" t="str">
        <f t="shared" si="10"/>
        <v>Г3081 Ф25</v>
      </c>
      <c r="B330" s="118" t="s">
        <v>553</v>
      </c>
      <c r="C330" s="117">
        <v>25</v>
      </c>
      <c r="D330" s="183">
        <v>2560</v>
      </c>
      <c r="E330" s="119">
        <f>'18'!D20</f>
        <v>152540.89200000002</v>
      </c>
      <c r="F330" s="119">
        <f>'18'!E20</f>
        <v>197584.93650000001</v>
      </c>
      <c r="G330" s="118" t="s">
        <v>538</v>
      </c>
      <c r="H330" s="185">
        <f t="shared" si="11"/>
        <v>0.29529160285754719</v>
      </c>
    </row>
    <row r="331" spans="1:8" x14ac:dyDescent="0.25">
      <c r="A331" t="str">
        <f t="shared" si="10"/>
        <v>Г3081 Ф27,5</v>
      </c>
      <c r="B331" s="118" t="s">
        <v>553</v>
      </c>
      <c r="C331" s="117">
        <v>27.5</v>
      </c>
      <c r="D331" s="183">
        <v>3050</v>
      </c>
      <c r="E331" s="119">
        <f>'18'!D21</f>
        <v>180729.76949999999</v>
      </c>
      <c r="F331" s="119">
        <f>'18'!E21</f>
        <v>234001.18349999998</v>
      </c>
      <c r="G331" s="118" t="s">
        <v>538</v>
      </c>
      <c r="H331" s="185">
        <f t="shared" si="11"/>
        <v>0.29475727295718146</v>
      </c>
    </row>
    <row r="332" spans="1:8" x14ac:dyDescent="0.25">
      <c r="A332" t="str">
        <f t="shared" si="10"/>
        <v>Г3081 Ф29,5</v>
      </c>
      <c r="B332" s="118" t="s">
        <v>553</v>
      </c>
      <c r="C332" s="117">
        <v>29.5</v>
      </c>
      <c r="D332" s="183">
        <v>3630</v>
      </c>
      <c r="E332" s="119">
        <f>'18'!D22</f>
        <v>215170.70400000003</v>
      </c>
      <c r="F332" s="119">
        <f>'18'!E22</f>
        <v>278730.71100000001</v>
      </c>
      <c r="G332" s="118" t="s">
        <v>538</v>
      </c>
      <c r="H332" s="185">
        <f t="shared" si="11"/>
        <v>0.2953934054145213</v>
      </c>
    </row>
    <row r="333" spans="1:8" x14ac:dyDescent="0.25">
      <c r="A333" t="str">
        <f t="shared" si="10"/>
        <v>Г3081 Ф31,5</v>
      </c>
      <c r="B333" s="118" t="s">
        <v>553</v>
      </c>
      <c r="C333" s="117">
        <v>31.5</v>
      </c>
      <c r="D333" s="183">
        <v>4251</v>
      </c>
      <c r="E333" s="119">
        <f>'18'!D23</f>
        <v>250319.769</v>
      </c>
      <c r="F333" s="119">
        <f>'18'!E23</f>
        <v>324356.95950000006</v>
      </c>
      <c r="G333" s="118" t="s">
        <v>538</v>
      </c>
      <c r="H333" s="185">
        <f t="shared" si="11"/>
        <v>0.29577044911702544</v>
      </c>
    </row>
    <row r="334" spans="1:8" x14ac:dyDescent="0.25">
      <c r="A334" t="str">
        <f t="shared" si="10"/>
        <v>Г3081 Ф34</v>
      </c>
      <c r="B334" s="118" t="s">
        <v>553</v>
      </c>
      <c r="C334" s="117">
        <v>34</v>
      </c>
      <c r="D334" s="183">
        <v>4923</v>
      </c>
      <c r="E334" s="119">
        <f>'18'!D24</f>
        <v>289764.69900000002</v>
      </c>
      <c r="F334" s="119">
        <f>'18'!E24</f>
        <v>375294.76950000005</v>
      </c>
      <c r="G334" s="118" t="s">
        <v>538</v>
      </c>
      <c r="H334" s="185">
        <f t="shared" si="11"/>
        <v>0.29517077406313064</v>
      </c>
    </row>
    <row r="335" spans="1:8" x14ac:dyDescent="0.25">
      <c r="A335" t="str">
        <f t="shared" si="10"/>
        <v>Г3081 Ф35,5</v>
      </c>
      <c r="B335" s="118" t="s">
        <v>553</v>
      </c>
      <c r="C335" s="117">
        <v>35.5</v>
      </c>
      <c r="D335" s="183">
        <v>5415</v>
      </c>
      <c r="E335" s="119">
        <f>'18'!D25</f>
        <v>317215.7415</v>
      </c>
      <c r="F335" s="119">
        <f>'18'!E25</f>
        <v>411064.18500000006</v>
      </c>
      <c r="G335" s="118" t="s">
        <v>538</v>
      </c>
      <c r="H335" s="185">
        <f t="shared" si="11"/>
        <v>0.29585052449233529</v>
      </c>
    </row>
    <row r="336" spans="1:8" x14ac:dyDescent="0.25">
      <c r="A336" t="str">
        <f t="shared" si="10"/>
        <v>Г3081 Ф38</v>
      </c>
      <c r="B336" s="118" t="s">
        <v>553</v>
      </c>
      <c r="C336" s="117">
        <v>38</v>
      </c>
      <c r="D336" s="183">
        <v>5935</v>
      </c>
      <c r="E336" s="119">
        <f>'18'!D26</f>
        <v>347360.81100000005</v>
      </c>
      <c r="F336" s="119">
        <f>'18'!E26</f>
        <v>450037.60200000001</v>
      </c>
      <c r="G336" s="118" t="s">
        <v>538</v>
      </c>
      <c r="H336" s="185">
        <f t="shared" si="11"/>
        <v>0.29559117709452831</v>
      </c>
    </row>
    <row r="337" spans="1:8" x14ac:dyDescent="0.25">
      <c r="A337" t="str">
        <f t="shared" si="10"/>
        <v>Г3081 Ф40,5</v>
      </c>
      <c r="B337" s="118" t="s">
        <v>553</v>
      </c>
      <c r="C337" s="117">
        <v>40.5</v>
      </c>
      <c r="D337" s="183">
        <v>6723</v>
      </c>
      <c r="E337" s="119">
        <f>'18'!D27</f>
        <v>390674.94900000002</v>
      </c>
      <c r="F337" s="119">
        <f>'18'!E27</f>
        <v>0</v>
      </c>
      <c r="G337" s="118" t="s">
        <v>538</v>
      </c>
      <c r="H337" s="185">
        <f t="shared" si="11"/>
        <v>0</v>
      </c>
    </row>
    <row r="338" spans="1:8" x14ac:dyDescent="0.25">
      <c r="A338" t="str">
        <f t="shared" si="10"/>
        <v>Г3081 Ф43</v>
      </c>
      <c r="B338" s="118" t="s">
        <v>553</v>
      </c>
      <c r="C338" s="117">
        <v>43</v>
      </c>
      <c r="D338" s="183">
        <v>7585</v>
      </c>
      <c r="E338" s="119" t="e">
        <f>'18'!#REF!</f>
        <v>#REF!</v>
      </c>
      <c r="F338" s="119" t="e">
        <f>'18'!#REF!</f>
        <v>#REF!</v>
      </c>
      <c r="G338" s="118" t="s">
        <v>538</v>
      </c>
      <c r="H338" s="185" t="e">
        <f t="shared" si="11"/>
        <v>#REF!</v>
      </c>
    </row>
    <row r="339" spans="1:8" x14ac:dyDescent="0.25">
      <c r="A339" t="str">
        <f t="shared" si="10"/>
        <v>Г3081 Ф45,5</v>
      </c>
      <c r="B339" s="118" t="s">
        <v>553</v>
      </c>
      <c r="C339" s="117">
        <v>45.5</v>
      </c>
      <c r="D339" s="183">
        <v>8605</v>
      </c>
      <c r="E339" s="119" t="e">
        <f>'18'!#REF!</f>
        <v>#REF!</v>
      </c>
      <c r="F339" s="119" t="e">
        <f>'18'!#REF!</f>
        <v>#REF!</v>
      </c>
      <c r="G339" s="118" t="s">
        <v>538</v>
      </c>
      <c r="H339" s="185" t="e">
        <f t="shared" si="11"/>
        <v>#REF!</v>
      </c>
    </row>
    <row r="340" spans="1:8" x14ac:dyDescent="0.25">
      <c r="A340" t="str">
        <f t="shared" si="10"/>
        <v>Г3083 Ф9,5</v>
      </c>
      <c r="B340" s="118" t="s">
        <v>554</v>
      </c>
      <c r="C340" s="117">
        <v>9.5</v>
      </c>
      <c r="D340" s="183">
        <v>274</v>
      </c>
      <c r="E340" s="119" t="e">
        <f>'18'!#REF!</f>
        <v>#REF!</v>
      </c>
      <c r="F340" s="119" t="e">
        <f>'18'!#REF!</f>
        <v>#REF!</v>
      </c>
      <c r="G340" s="118" t="s">
        <v>540</v>
      </c>
      <c r="H340" s="185" t="e">
        <f t="shared" si="11"/>
        <v>#REF!</v>
      </c>
    </row>
    <row r="341" spans="1:8" x14ac:dyDescent="0.25">
      <c r="A341" t="str">
        <f t="shared" si="10"/>
        <v>Г3083 Ф11,5</v>
      </c>
      <c r="B341" s="118" t="s">
        <v>554</v>
      </c>
      <c r="C341" s="117">
        <v>11.5</v>
      </c>
      <c r="D341" s="183">
        <v>405.5</v>
      </c>
      <c r="E341" s="119" t="e">
        <f>'18'!#REF!</f>
        <v>#REF!</v>
      </c>
      <c r="F341" s="119" t="e">
        <f>'18'!#REF!</f>
        <v>#REF!</v>
      </c>
      <c r="G341" s="118" t="s">
        <v>540</v>
      </c>
      <c r="H341" s="185" t="e">
        <f t="shared" si="11"/>
        <v>#REF!</v>
      </c>
    </row>
    <row r="342" spans="1:8" x14ac:dyDescent="0.25">
      <c r="A342" t="str">
        <f t="shared" si="10"/>
        <v>Г3083 Ф13,5</v>
      </c>
      <c r="B342" s="118" t="s">
        <v>554</v>
      </c>
      <c r="C342" s="117">
        <v>13.5</v>
      </c>
      <c r="D342" s="183">
        <v>534</v>
      </c>
      <c r="E342" s="119">
        <f>'18'!D41</f>
        <v>61864.341</v>
      </c>
      <c r="F342" s="119">
        <f>'18'!E41</f>
        <v>80166.880500000014</v>
      </c>
      <c r="G342" s="118" t="s">
        <v>540</v>
      </c>
      <c r="H342" s="185">
        <f t="shared" si="11"/>
        <v>0.29584958320335164</v>
      </c>
    </row>
    <row r="343" spans="1:8" x14ac:dyDescent="0.25">
      <c r="A343" t="str">
        <f t="shared" si="10"/>
        <v>Г3083 Ф15</v>
      </c>
      <c r="B343" s="118" t="s">
        <v>554</v>
      </c>
      <c r="C343" s="117">
        <v>15</v>
      </c>
      <c r="D343" s="183">
        <v>721.5</v>
      </c>
      <c r="E343" s="119">
        <f>'18'!D42</f>
        <v>81041.121000000014</v>
      </c>
      <c r="F343" s="119">
        <f>'18'!E42</f>
        <v>105018.942</v>
      </c>
      <c r="G343" s="118" t="s">
        <v>540</v>
      </c>
      <c r="H343" s="185">
        <f t="shared" si="11"/>
        <v>0.29587227698886309</v>
      </c>
    </row>
    <row r="344" spans="1:8" x14ac:dyDescent="0.25">
      <c r="A344" t="str">
        <f t="shared" si="10"/>
        <v>Г3083 Ф17</v>
      </c>
      <c r="B344" s="118" t="s">
        <v>554</v>
      </c>
      <c r="C344" s="117">
        <v>17</v>
      </c>
      <c r="D344" s="183">
        <v>889.5</v>
      </c>
      <c r="E344" s="119">
        <f>'18'!D43</f>
        <v>92009.441999999995</v>
      </c>
      <c r="F344" s="119">
        <f>'18'!E43</f>
        <v>119231.7525</v>
      </c>
      <c r="G344" s="118" t="s">
        <v>540</v>
      </c>
      <c r="H344" s="185">
        <f t="shared" si="11"/>
        <v>0.29586431466457541</v>
      </c>
    </row>
    <row r="345" spans="1:8" x14ac:dyDescent="0.25">
      <c r="A345" t="str">
        <f t="shared" si="10"/>
        <v>Г3083 Ф19</v>
      </c>
      <c r="B345" s="118" t="s">
        <v>554</v>
      </c>
      <c r="C345" s="117">
        <v>19</v>
      </c>
      <c r="D345" s="183">
        <v>1075</v>
      </c>
      <c r="E345" s="119">
        <f>'18'!D44</f>
        <v>104057.4255</v>
      </c>
      <c r="F345" s="119">
        <f>'18'!E44</f>
        <v>134843.67750000002</v>
      </c>
      <c r="G345" s="118" t="s">
        <v>540</v>
      </c>
      <c r="H345" s="185">
        <f t="shared" si="11"/>
        <v>0.29585829028606914</v>
      </c>
    </row>
    <row r="346" spans="1:8" x14ac:dyDescent="0.25">
      <c r="A346" t="str">
        <f t="shared" si="10"/>
        <v>Г3083 Ф21</v>
      </c>
      <c r="B346" s="118" t="s">
        <v>554</v>
      </c>
      <c r="C346" s="117">
        <v>21</v>
      </c>
      <c r="D346" s="183">
        <v>1335</v>
      </c>
      <c r="E346" s="119">
        <f>'18'!D45</f>
        <v>122511.8475</v>
      </c>
      <c r="F346" s="119">
        <f>'18'!E45</f>
        <v>158616.85350000003</v>
      </c>
      <c r="G346" s="118" t="s">
        <v>540</v>
      </c>
      <c r="H346" s="185">
        <f t="shared" si="11"/>
        <v>0.29470624055359229</v>
      </c>
    </row>
    <row r="347" spans="1:8" x14ac:dyDescent="0.25">
      <c r="A347" t="str">
        <f t="shared" si="10"/>
        <v>Г3083 Ф23</v>
      </c>
      <c r="B347" s="118" t="s">
        <v>554</v>
      </c>
      <c r="C347" s="117">
        <v>23</v>
      </c>
      <c r="D347" s="183">
        <v>1625</v>
      </c>
      <c r="E347" s="119">
        <f>'18'!D46</f>
        <v>140966.30100000001</v>
      </c>
      <c r="F347" s="119">
        <f>'18'!E46</f>
        <v>182673.3615</v>
      </c>
      <c r="G347" s="118" t="s">
        <v>540</v>
      </c>
      <c r="H347" s="185">
        <f t="shared" si="11"/>
        <v>0.29586546716580142</v>
      </c>
    </row>
    <row r="348" spans="1:8" x14ac:dyDescent="0.25">
      <c r="A348" t="str">
        <f t="shared" si="10"/>
        <v>Г3083 Ф25</v>
      </c>
      <c r="B348" s="118" t="s">
        <v>554</v>
      </c>
      <c r="C348" s="117">
        <v>25</v>
      </c>
      <c r="D348" s="183">
        <v>1870</v>
      </c>
      <c r="E348" s="119">
        <f>'18'!D47</f>
        <v>162051.19349999999</v>
      </c>
      <c r="F348" s="119">
        <f>'18'!E47</f>
        <v>209995.39050000001</v>
      </c>
      <c r="G348" s="118" t="s">
        <v>540</v>
      </c>
      <c r="H348" s="185">
        <f t="shared" si="11"/>
        <v>0.29585833935866712</v>
      </c>
    </row>
    <row r="349" spans="1:8" x14ac:dyDescent="0.25">
      <c r="A349" t="str">
        <f t="shared" si="10"/>
        <v>Г3083 Ф26,5</v>
      </c>
      <c r="B349" s="118" t="s">
        <v>554</v>
      </c>
      <c r="C349" s="117">
        <v>26.5</v>
      </c>
      <c r="D349" s="183">
        <v>2135</v>
      </c>
      <c r="E349" s="119">
        <f>'18'!D48</f>
        <v>173939.9025</v>
      </c>
      <c r="F349" s="119">
        <f>'18'!E48</f>
        <v>225402.47099999999</v>
      </c>
      <c r="G349" s="118" t="s">
        <v>540</v>
      </c>
      <c r="H349" s="185">
        <f t="shared" si="11"/>
        <v>0.29586407581204655</v>
      </c>
    </row>
    <row r="350" spans="1:8" x14ac:dyDescent="0.25">
      <c r="A350" t="str">
        <f t="shared" si="10"/>
        <v>Г3083 Ф28,5</v>
      </c>
      <c r="B350" s="118" t="s">
        <v>554</v>
      </c>
      <c r="C350" s="117">
        <v>28.5</v>
      </c>
      <c r="D350" s="183">
        <v>2495</v>
      </c>
      <c r="E350" s="119">
        <f>'18'!D49</f>
        <v>207549.63600000003</v>
      </c>
      <c r="F350" s="119">
        <f>'18'!E49</f>
        <v>268705.60500000004</v>
      </c>
      <c r="G350" s="118" t="s">
        <v>540</v>
      </c>
      <c r="H350" s="185">
        <f t="shared" si="11"/>
        <v>0.29465707663298435</v>
      </c>
    </row>
    <row r="351" spans="1:8" x14ac:dyDescent="0.25">
      <c r="A351" t="str">
        <f t="shared" si="10"/>
        <v>Г3083 Ф30,5</v>
      </c>
      <c r="B351" s="118" t="s">
        <v>554</v>
      </c>
      <c r="C351" s="117">
        <v>30.5</v>
      </c>
      <c r="D351" s="183">
        <v>2800</v>
      </c>
      <c r="E351" s="119">
        <f>'18'!D50</f>
        <v>236034.6765</v>
      </c>
      <c r="F351" s="119">
        <f>'18'!E50</f>
        <v>305867.54099999997</v>
      </c>
      <c r="G351" s="118" t="s">
        <v>540</v>
      </c>
      <c r="H351" s="185">
        <f t="shared" si="11"/>
        <v>0.29585849645274465</v>
      </c>
    </row>
    <row r="352" spans="1:8" x14ac:dyDescent="0.25">
      <c r="A352" t="str">
        <f t="shared" si="10"/>
        <v>Г3083 Ф32,5</v>
      </c>
      <c r="B352" s="118" t="s">
        <v>554</v>
      </c>
      <c r="C352" s="117">
        <v>32.5</v>
      </c>
      <c r="D352" s="183">
        <v>3125</v>
      </c>
      <c r="E352" s="119">
        <f>'18'!D51</f>
        <v>241937.6085</v>
      </c>
      <c r="F352" s="119">
        <f>'18'!E51</f>
        <v>313517.40000000002</v>
      </c>
      <c r="G352" s="118" t="s">
        <v>540</v>
      </c>
      <c r="H352" s="185">
        <f t="shared" si="11"/>
        <v>0.29586054001190987</v>
      </c>
    </row>
    <row r="353" spans="1:8" x14ac:dyDescent="0.25">
      <c r="A353" t="str">
        <f t="shared" si="10"/>
        <v>Г3083 Ф34,5</v>
      </c>
      <c r="B353" s="118" t="s">
        <v>554</v>
      </c>
      <c r="C353" s="117">
        <v>34.5</v>
      </c>
      <c r="D353" s="183">
        <v>3555</v>
      </c>
      <c r="E353" s="119">
        <f>'18'!D52</f>
        <v>274994.08650000003</v>
      </c>
      <c r="F353" s="119">
        <f>'18'!E52</f>
        <v>356353.88250000007</v>
      </c>
      <c r="G353" s="118" t="s">
        <v>540</v>
      </c>
      <c r="H353" s="185">
        <f t="shared" si="11"/>
        <v>0.29586016570578155</v>
      </c>
    </row>
    <row r="354" spans="1:8" x14ac:dyDescent="0.25">
      <c r="A354" t="str">
        <f t="shared" si="10"/>
        <v>Г3083 Ф38</v>
      </c>
      <c r="B354" s="118" t="s">
        <v>554</v>
      </c>
      <c r="C354" s="117">
        <v>38</v>
      </c>
      <c r="D354" s="183">
        <v>4305</v>
      </c>
      <c r="E354" s="119">
        <f>'18'!D53</f>
        <v>323232.47250000003</v>
      </c>
      <c r="F354" s="119">
        <f>'18'!E53</f>
        <v>418864.49850000005</v>
      </c>
      <c r="G354" s="118" t="s">
        <v>540</v>
      </c>
      <c r="H354" s="185">
        <f t="shared" si="11"/>
        <v>0.29586144380960988</v>
      </c>
    </row>
    <row r="355" spans="1:8" x14ac:dyDescent="0.25">
      <c r="A355" t="str">
        <f t="shared" si="10"/>
        <v>Г3083 Ф42</v>
      </c>
      <c r="B355" s="118" t="s">
        <v>554</v>
      </c>
      <c r="C355" s="117">
        <v>42</v>
      </c>
      <c r="D355" s="183">
        <v>5345</v>
      </c>
      <c r="E355" s="119">
        <f>'18'!D54</f>
        <v>397858.03049999999</v>
      </c>
      <c r="F355" s="119">
        <f>'18'!E54</f>
        <v>515568.19650000002</v>
      </c>
      <c r="G355" s="118" t="s">
        <v>540</v>
      </c>
      <c r="H355" s="185">
        <f t="shared" si="11"/>
        <v>0.29585972124797921</v>
      </c>
    </row>
    <row r="356" spans="1:8" x14ac:dyDescent="0.25">
      <c r="A356" t="str">
        <f t="shared" si="10"/>
        <v>Г3083 Ф46</v>
      </c>
      <c r="B356" s="118" t="s">
        <v>554</v>
      </c>
      <c r="C356" s="117">
        <v>46</v>
      </c>
      <c r="D356" s="183">
        <v>6240</v>
      </c>
      <c r="E356" s="119">
        <f>'18'!D55</f>
        <v>484889.47500000003</v>
      </c>
      <c r="F356" s="119">
        <f>'18'!E55</f>
        <v>628348.14000000013</v>
      </c>
      <c r="G356" s="118" t="s">
        <v>540</v>
      </c>
      <c r="H356" s="185">
        <f t="shared" si="11"/>
        <v>0.295858484039069</v>
      </c>
    </row>
    <row r="357" spans="1:8" x14ac:dyDescent="0.25">
      <c r="A357" t="str">
        <f t="shared" si="10"/>
        <v>Г3083 Ф48</v>
      </c>
      <c r="B357" s="118" t="s">
        <v>554</v>
      </c>
      <c r="C357" s="117">
        <v>48</v>
      </c>
      <c r="D357" s="183">
        <v>6815</v>
      </c>
      <c r="E357" s="119">
        <f>'18'!D56</f>
        <v>529499.31299999997</v>
      </c>
      <c r="F357" s="119">
        <f>'18'!E56</f>
        <v>686156.16300000006</v>
      </c>
      <c r="G357" s="118" t="s">
        <v>540</v>
      </c>
      <c r="H357" s="185">
        <f t="shared" si="11"/>
        <v>0.29585845751607254</v>
      </c>
    </row>
    <row r="358" spans="1:8" x14ac:dyDescent="0.25">
      <c r="A358" t="str">
        <f t="shared" si="10"/>
        <v>Г3083 Ф50</v>
      </c>
      <c r="B358" s="118" t="s">
        <v>554</v>
      </c>
      <c r="C358" s="117">
        <v>50</v>
      </c>
      <c r="D358" s="183">
        <v>7490</v>
      </c>
      <c r="E358" s="119">
        <f>'18'!D57</f>
        <v>603629.20799999998</v>
      </c>
      <c r="F358" s="119">
        <f>'18'!E57</f>
        <v>782218.02750000008</v>
      </c>
      <c r="G358" s="118" t="s">
        <v>540</v>
      </c>
      <c r="H358" s="185">
        <f t="shared" si="11"/>
        <v>0.29585847923382813</v>
      </c>
    </row>
    <row r="359" spans="1:8" x14ac:dyDescent="0.25">
      <c r="A359" t="str">
        <f t="shared" si="10"/>
        <v>Г3083 Ф53,5</v>
      </c>
      <c r="B359" s="118" t="s">
        <v>554</v>
      </c>
      <c r="C359" s="117">
        <v>53.5</v>
      </c>
      <c r="D359" s="183">
        <v>8550</v>
      </c>
      <c r="E359" s="119">
        <f>'18'!D58</f>
        <v>682101.01050000009</v>
      </c>
      <c r="F359" s="119">
        <f>'18'!E58</f>
        <v>883906.38</v>
      </c>
      <c r="G359" s="118" t="s">
        <v>540</v>
      </c>
      <c r="H359" s="185">
        <f t="shared" si="11"/>
        <v>0.29585848194546815</v>
      </c>
    </row>
    <row r="360" spans="1:8" x14ac:dyDescent="0.25">
      <c r="A360" t="str">
        <f t="shared" si="10"/>
        <v>Г3083 Ф57</v>
      </c>
      <c r="B360" s="118" t="s">
        <v>554</v>
      </c>
      <c r="C360" s="117">
        <v>57</v>
      </c>
      <c r="D360" s="183">
        <v>9985</v>
      </c>
      <c r="E360" s="119" t="e">
        <f>'18'!#REF!</f>
        <v>#REF!</v>
      </c>
      <c r="F360" s="119" t="e">
        <f>'18'!#REF!</f>
        <v>#REF!</v>
      </c>
      <c r="G360" s="118" t="s">
        <v>540</v>
      </c>
      <c r="H360" s="185" t="e">
        <f t="shared" si="11"/>
        <v>#REF!</v>
      </c>
    </row>
    <row r="361" spans="1:8" x14ac:dyDescent="0.25">
      <c r="A361" t="str">
        <f t="shared" si="10"/>
        <v>Г3083 Ф61</v>
      </c>
      <c r="B361" s="118" t="s">
        <v>554</v>
      </c>
      <c r="C361" s="117">
        <v>61</v>
      </c>
      <c r="D361" s="183">
        <v>11200</v>
      </c>
      <c r="E361" s="119" t="e">
        <f>'18'!#REF!</f>
        <v>#REF!</v>
      </c>
      <c r="F361" s="119" t="e">
        <f>'18'!#REF!</f>
        <v>#REF!</v>
      </c>
      <c r="G361" s="118" t="s">
        <v>540</v>
      </c>
      <c r="H361" s="185" t="e">
        <f t="shared" si="11"/>
        <v>#REF!</v>
      </c>
    </row>
    <row r="362" spans="1:8" x14ac:dyDescent="0.25">
      <c r="A362" t="str">
        <f t="shared" si="10"/>
        <v>Г3083 Ф65</v>
      </c>
      <c r="B362" s="118" t="s">
        <v>554</v>
      </c>
      <c r="C362" s="117">
        <v>65</v>
      </c>
      <c r="D362" s="183">
        <v>12450</v>
      </c>
      <c r="E362" s="119" t="e">
        <f>'18'!#REF!</f>
        <v>#REF!</v>
      </c>
      <c r="F362" s="119" t="e">
        <f>'18'!#REF!</f>
        <v>#REF!</v>
      </c>
      <c r="G362" s="118" t="s">
        <v>540</v>
      </c>
      <c r="H362" s="185" t="e">
        <f t="shared" si="11"/>
        <v>#REF!</v>
      </c>
    </row>
    <row r="363" spans="1:8" x14ac:dyDescent="0.25">
      <c r="A363" t="str">
        <f t="shared" si="10"/>
        <v>Г3085 Ф21,5</v>
      </c>
      <c r="B363" s="118" t="s">
        <v>555</v>
      </c>
      <c r="C363" s="117">
        <v>21.5</v>
      </c>
      <c r="D363" s="183">
        <v>2105</v>
      </c>
      <c r="E363" s="119">
        <f>'19'!D6</f>
        <v>206587.1115</v>
      </c>
      <c r="F363" s="119">
        <f>'19'!E6</f>
        <v>267538.67700000003</v>
      </c>
      <c r="G363" s="118" t="s">
        <v>540</v>
      </c>
      <c r="H363" s="185">
        <f t="shared" si="11"/>
        <v>0.29504050401517912</v>
      </c>
    </row>
    <row r="364" spans="1:8" x14ac:dyDescent="0.25">
      <c r="A364" t="str">
        <f t="shared" si="10"/>
        <v>Г3085 Ф23</v>
      </c>
      <c r="B364" s="118" t="s">
        <v>555</v>
      </c>
      <c r="C364" s="117">
        <v>23</v>
      </c>
      <c r="D364" s="183">
        <v>2385</v>
      </c>
      <c r="E364" s="119">
        <f>'19'!D7</f>
        <v>225835.03950000001</v>
      </c>
      <c r="F364" s="119">
        <f>'19'!E7</f>
        <v>292465.52999999997</v>
      </c>
      <c r="G364" s="118" t="s">
        <v>540</v>
      </c>
      <c r="H364" s="185">
        <f t="shared" si="11"/>
        <v>0.29504053333583768</v>
      </c>
    </row>
    <row r="365" spans="1:8" x14ac:dyDescent="0.25">
      <c r="A365" t="str">
        <f t="shared" si="10"/>
        <v>Г3085 Ф25</v>
      </c>
      <c r="B365" s="118" t="s">
        <v>555</v>
      </c>
      <c r="C365" s="117">
        <v>25</v>
      </c>
      <c r="D365" s="183">
        <v>2745</v>
      </c>
      <c r="E365" s="119">
        <f>'19'!D8</f>
        <v>253522.4895</v>
      </c>
      <c r="F365" s="119">
        <f>'19'!E8</f>
        <v>328321.89600000001</v>
      </c>
      <c r="G365" s="118" t="s">
        <v>540</v>
      </c>
      <c r="H365" s="185">
        <f t="shared" si="11"/>
        <v>0.29504051750012494</v>
      </c>
    </row>
    <row r="366" spans="1:8" x14ac:dyDescent="0.25">
      <c r="A366" t="str">
        <f t="shared" si="10"/>
        <v>Г3085 Ф27,5</v>
      </c>
      <c r="B366" s="118" t="s">
        <v>555</v>
      </c>
      <c r="C366" s="117">
        <v>27.5</v>
      </c>
      <c r="D366" s="183">
        <v>3340</v>
      </c>
      <c r="E366" s="119">
        <f>'19'!D9</f>
        <v>298541.40750000003</v>
      </c>
      <c r="F366" s="119">
        <f>'19'!E9</f>
        <v>386623.1985</v>
      </c>
      <c r="G366" s="118" t="s">
        <v>540</v>
      </c>
      <c r="H366" s="185">
        <f t="shared" si="11"/>
        <v>0.29504044928842887</v>
      </c>
    </row>
    <row r="367" spans="1:8" x14ac:dyDescent="0.25">
      <c r="A367" t="str">
        <f t="shared" si="10"/>
        <v>Г3085 Ф30</v>
      </c>
      <c r="B367" s="118" t="s">
        <v>555</v>
      </c>
      <c r="C367" s="117">
        <v>30</v>
      </c>
      <c r="D367" s="183">
        <v>3990</v>
      </c>
      <c r="E367" s="119">
        <f>'19'!D10</f>
        <v>0</v>
      </c>
      <c r="F367" s="119">
        <f>'19'!E10</f>
        <v>457307.03550000006</v>
      </c>
      <c r="G367" s="118" t="s">
        <v>540</v>
      </c>
      <c r="H367" s="185">
        <f t="shared" si="11"/>
        <v>0</v>
      </c>
    </row>
    <row r="368" spans="1:8" x14ac:dyDescent="0.25">
      <c r="A368" t="str">
        <f t="shared" si="10"/>
        <v>Г3085 Ф33</v>
      </c>
      <c r="B368" s="118" t="s">
        <v>555</v>
      </c>
      <c r="C368" s="117">
        <v>33</v>
      </c>
      <c r="D368" s="183">
        <v>4700</v>
      </c>
      <c r="E368" s="119">
        <f>'19'!D11</f>
        <v>399758.478</v>
      </c>
      <c r="F368" s="119">
        <f>'19'!E11</f>
        <v>517703.41350000002</v>
      </c>
      <c r="G368" s="118" t="s">
        <v>540</v>
      </c>
      <c r="H368" s="185">
        <f t="shared" si="11"/>
        <v>0.29504048567045027</v>
      </c>
    </row>
    <row r="369" spans="1:8" x14ac:dyDescent="0.25">
      <c r="A369" t="str">
        <f t="shared" si="10"/>
        <v>Г3085 Ф35,5</v>
      </c>
      <c r="B369" s="118" t="s">
        <v>555</v>
      </c>
      <c r="C369" s="117">
        <v>35.5</v>
      </c>
      <c r="D369" s="183">
        <v>5470</v>
      </c>
      <c r="E369" s="119">
        <f>'19'!D12</f>
        <v>460465.614</v>
      </c>
      <c r="F369" s="119">
        <f>'19'!E12</f>
        <v>596321.6385</v>
      </c>
      <c r="G369" s="118" t="s">
        <v>540</v>
      </c>
      <c r="H369" s="185">
        <f t="shared" si="11"/>
        <v>0.2950405423758744</v>
      </c>
    </row>
    <row r="370" spans="1:8" x14ac:dyDescent="0.25">
      <c r="A370" t="str">
        <f t="shared" si="10"/>
        <v>Г3085 Ф38,5</v>
      </c>
      <c r="B370" s="118" t="s">
        <v>555</v>
      </c>
      <c r="C370" s="117">
        <v>38.5</v>
      </c>
      <c r="D370" s="183">
        <v>6565</v>
      </c>
      <c r="E370" s="119">
        <f>'19'!D13</f>
        <v>550401.33750000002</v>
      </c>
      <c r="F370" s="119">
        <f>'19'!E13</f>
        <v>712792.05900000001</v>
      </c>
      <c r="G370" s="118" t="s">
        <v>540</v>
      </c>
      <c r="H370" s="185">
        <f t="shared" si="11"/>
        <v>0.29504056483147623</v>
      </c>
    </row>
    <row r="371" spans="1:8" x14ac:dyDescent="0.25">
      <c r="A371" t="str">
        <f t="shared" si="10"/>
        <v>Г3085 Ф40,5</v>
      </c>
      <c r="B371" s="118" t="s">
        <v>555</v>
      </c>
      <c r="C371" s="117">
        <v>40.5</v>
      </c>
      <c r="D371" s="183">
        <v>7465</v>
      </c>
      <c r="E371" s="119">
        <f>'19'!D14</f>
        <v>620942.88900000008</v>
      </c>
      <c r="F371" s="119">
        <f>'19'!E14</f>
        <v>804146.196</v>
      </c>
      <c r="G371" s="118" t="s">
        <v>540</v>
      </c>
      <c r="H371" s="185">
        <f t="shared" si="11"/>
        <v>0.29504051056135028</v>
      </c>
    </row>
    <row r="372" spans="1:8" x14ac:dyDescent="0.25">
      <c r="A372" t="str">
        <f t="shared" si="10"/>
        <v>Г3085 Ф43,5</v>
      </c>
      <c r="B372" s="118" t="s">
        <v>555</v>
      </c>
      <c r="C372" s="117">
        <v>43.5</v>
      </c>
      <c r="D372" s="183">
        <v>8425</v>
      </c>
      <c r="E372" s="119">
        <f>'19'!D15</f>
        <v>697915.63800000004</v>
      </c>
      <c r="F372" s="119">
        <f>'19'!E15</f>
        <v>903829.03800000006</v>
      </c>
      <c r="G372" s="118" t="s">
        <v>540</v>
      </c>
      <c r="H372" s="185">
        <f t="shared" si="11"/>
        <v>0.29504053038570843</v>
      </c>
    </row>
    <row r="373" spans="1:8" x14ac:dyDescent="0.25">
      <c r="A373" t="str">
        <f t="shared" si="10"/>
        <v>Г3088 Ф16</v>
      </c>
      <c r="B373" s="118" t="s">
        <v>556</v>
      </c>
      <c r="C373" s="117">
        <v>16</v>
      </c>
      <c r="D373" s="183">
        <v>1080</v>
      </c>
      <c r="E373" s="119">
        <f>'19'!D22</f>
        <v>80800.522400000002</v>
      </c>
      <c r="F373" s="119">
        <f>'19'!E22</f>
        <v>104625.37280000001</v>
      </c>
      <c r="G373" s="118" t="s">
        <v>538</v>
      </c>
      <c r="H373" s="185">
        <f t="shared" si="11"/>
        <v>0.29486010352824166</v>
      </c>
    </row>
    <row r="374" spans="1:8" x14ac:dyDescent="0.25">
      <c r="A374" t="str">
        <f t="shared" si="10"/>
        <v>Г3088 Ф18,5</v>
      </c>
      <c r="B374" s="118" t="s">
        <v>556</v>
      </c>
      <c r="C374" s="117">
        <v>18.5</v>
      </c>
      <c r="D374" s="183">
        <v>1390</v>
      </c>
      <c r="E374" s="119">
        <f>'19'!D23</f>
        <v>101712.5616</v>
      </c>
      <c r="F374" s="119">
        <f>'19'!E23</f>
        <v>131703.52000000002</v>
      </c>
      <c r="G374" s="118" t="s">
        <v>538</v>
      </c>
      <c r="H374" s="185">
        <f t="shared" si="11"/>
        <v>0.29485992613128742</v>
      </c>
    </row>
    <row r="375" spans="1:8" x14ac:dyDescent="0.25">
      <c r="A375" t="str">
        <f t="shared" si="10"/>
        <v>Г3088 Ф20</v>
      </c>
      <c r="B375" s="118" t="s">
        <v>556</v>
      </c>
      <c r="C375" s="117">
        <v>20</v>
      </c>
      <c r="D375" s="183">
        <v>1585</v>
      </c>
      <c r="E375" s="119">
        <f>'19'!D24</f>
        <v>115535.056</v>
      </c>
      <c r="F375" s="119">
        <f>'19'!E24</f>
        <v>149601.7328</v>
      </c>
      <c r="G375" s="118" t="s">
        <v>538</v>
      </c>
      <c r="H375" s="185">
        <f t="shared" si="11"/>
        <v>0.29486008817964304</v>
      </c>
    </row>
    <row r="376" spans="1:8" x14ac:dyDescent="0.25">
      <c r="A376" t="str">
        <f t="shared" si="10"/>
        <v>Г3088 Ф21</v>
      </c>
      <c r="B376" s="118" t="s">
        <v>556</v>
      </c>
      <c r="C376" s="117">
        <v>21</v>
      </c>
      <c r="D376" s="183">
        <v>1670</v>
      </c>
      <c r="E376" s="119">
        <f>'19'!D25</f>
        <v>120881.26960000001</v>
      </c>
      <c r="F376" s="119">
        <f>'19'!E25</f>
        <v>156524.32640000002</v>
      </c>
      <c r="G376" s="118" t="s">
        <v>538</v>
      </c>
      <c r="H376" s="185">
        <f t="shared" si="11"/>
        <v>0.29486004670487009</v>
      </c>
    </row>
    <row r="377" spans="1:8" x14ac:dyDescent="0.25">
      <c r="A377" t="str">
        <f t="shared" si="10"/>
        <v>Г3088 Ф23</v>
      </c>
      <c r="B377" s="118" t="s">
        <v>556</v>
      </c>
      <c r="C377" s="117">
        <v>23</v>
      </c>
      <c r="D377" s="183">
        <v>2190</v>
      </c>
      <c r="E377" s="119">
        <f>'19'!D26</f>
        <v>156552.03200000001</v>
      </c>
      <c r="F377" s="119">
        <f>'19'!E26</f>
        <v>202713.1912</v>
      </c>
      <c r="G377" s="118" t="s">
        <v>538</v>
      </c>
      <c r="H377" s="185">
        <f t="shared" si="11"/>
        <v>0.2948614502812712</v>
      </c>
    </row>
    <row r="378" spans="1:8" x14ac:dyDescent="0.25">
      <c r="A378" t="str">
        <f t="shared" si="10"/>
        <v>Г3088 Ф24,5</v>
      </c>
      <c r="B378" s="118" t="s">
        <v>556</v>
      </c>
      <c r="C378" s="117">
        <v>24.5</v>
      </c>
      <c r="D378" s="183">
        <v>2540</v>
      </c>
      <c r="E378" s="119">
        <f>'19'!D27</f>
        <v>179786.34959999999</v>
      </c>
      <c r="F378" s="119">
        <f>'19'!E27</f>
        <v>232798.17600000001</v>
      </c>
      <c r="G378" s="118" t="s">
        <v>538</v>
      </c>
      <c r="H378" s="185">
        <f t="shared" si="11"/>
        <v>0.29486012991500221</v>
      </c>
    </row>
    <row r="379" spans="1:8" x14ac:dyDescent="0.25">
      <c r="A379" t="str">
        <f t="shared" si="10"/>
        <v>Г3088 Ф27</v>
      </c>
      <c r="B379" s="118" t="s">
        <v>556</v>
      </c>
      <c r="C379" s="117">
        <v>27</v>
      </c>
      <c r="D379" s="183">
        <v>3075</v>
      </c>
      <c r="E379" s="119">
        <f>'19'!D28</f>
        <v>217255.62560000003</v>
      </c>
      <c r="F379" s="119">
        <f>'19'!E28</f>
        <v>281315.64240000001</v>
      </c>
      <c r="G379" s="118" t="s">
        <v>538</v>
      </c>
      <c r="H379" s="185">
        <f t="shared" si="11"/>
        <v>0.2948601060298619</v>
      </c>
    </row>
    <row r="380" spans="1:8" x14ac:dyDescent="0.25">
      <c r="A380" t="str">
        <f t="shared" si="10"/>
        <v>Г3088 Ф29,5</v>
      </c>
      <c r="B380" s="118" t="s">
        <v>556</v>
      </c>
      <c r="C380" s="117">
        <v>29.5</v>
      </c>
      <c r="D380" s="183">
        <v>3670</v>
      </c>
      <c r="E380" s="119">
        <f>'19'!D29</f>
        <v>254790.4944</v>
      </c>
      <c r="F380" s="119">
        <f>'19'!E29</f>
        <v>329918.04560000001</v>
      </c>
      <c r="G380" s="118" t="s">
        <v>538</v>
      </c>
      <c r="H380" s="185">
        <f t="shared" si="11"/>
        <v>0.2948601021278916</v>
      </c>
    </row>
    <row r="381" spans="1:8" x14ac:dyDescent="0.25">
      <c r="A381" t="str">
        <f t="shared" si="10"/>
        <v>Г3088 Ф31,5</v>
      </c>
      <c r="B381" s="118" t="s">
        <v>556</v>
      </c>
      <c r="C381" s="117">
        <v>31.5</v>
      </c>
      <c r="D381" s="183">
        <v>4225</v>
      </c>
      <c r="E381" s="119">
        <f>'19'!D30</f>
        <v>260914.76319999999</v>
      </c>
      <c r="F381" s="119">
        <f>'19'!E30</f>
        <v>337848.09760000004</v>
      </c>
      <c r="G381" s="118" t="s">
        <v>538</v>
      </c>
      <c r="H381" s="185">
        <f t="shared" si="11"/>
        <v>0.29486002806605494</v>
      </c>
    </row>
    <row r="382" spans="1:8" x14ac:dyDescent="0.25">
      <c r="A382" t="str">
        <f t="shared" si="10"/>
        <v>Г3088 Ф34</v>
      </c>
      <c r="B382" s="118" t="s">
        <v>556</v>
      </c>
      <c r="C382" s="117">
        <v>34</v>
      </c>
      <c r="D382" s="183">
        <v>4910</v>
      </c>
      <c r="E382" s="119">
        <f>'19'!D31</f>
        <v>300467.06560000003</v>
      </c>
      <c r="F382" s="119">
        <f>'19'!E31</f>
        <v>389062.79360000003</v>
      </c>
      <c r="G382" s="118" t="s">
        <v>538</v>
      </c>
      <c r="H382" s="185">
        <f t="shared" si="11"/>
        <v>0.29486003007712003</v>
      </c>
    </row>
    <row r="383" spans="1:8" x14ac:dyDescent="0.25">
      <c r="A383" t="str">
        <f t="shared" si="10"/>
        <v>Г3088 Ф36</v>
      </c>
      <c r="B383" s="118" t="s">
        <v>556</v>
      </c>
      <c r="C383" s="117">
        <v>36</v>
      </c>
      <c r="D383" s="183">
        <v>5550</v>
      </c>
      <c r="E383" s="119">
        <f>'19'!D32</f>
        <v>334598.07679999998</v>
      </c>
      <c r="F383" s="119">
        <f>'19'!E32</f>
        <v>433257.70800000004</v>
      </c>
      <c r="G383" s="118" t="s">
        <v>538</v>
      </c>
      <c r="H383" s="185">
        <f t="shared" si="11"/>
        <v>0.29486012634487468</v>
      </c>
    </row>
    <row r="384" spans="1:8" x14ac:dyDescent="0.25">
      <c r="A384" t="str">
        <f t="shared" si="10"/>
        <v>Г3088 Ф38,5</v>
      </c>
      <c r="B384" s="118" t="s">
        <v>556</v>
      </c>
      <c r="C384" s="117">
        <v>38.5</v>
      </c>
      <c r="D384" s="183">
        <v>6565</v>
      </c>
      <c r="E384" s="119">
        <f>'19'!D33</f>
        <v>393294.40800000005</v>
      </c>
      <c r="F384" s="119">
        <f>'19'!E33</f>
        <v>509261.24080000003</v>
      </c>
      <c r="G384" s="118" t="s">
        <v>538</v>
      </c>
      <c r="H384" s="185">
        <f t="shared" si="11"/>
        <v>0.29486011100366305</v>
      </c>
    </row>
    <row r="385" spans="1:8" x14ac:dyDescent="0.25">
      <c r="A385" t="str">
        <f t="shared" si="10"/>
        <v>Г3088 Ф41</v>
      </c>
      <c r="B385" s="118" t="s">
        <v>556</v>
      </c>
      <c r="C385" s="117">
        <v>41</v>
      </c>
      <c r="D385" s="183">
        <v>7175</v>
      </c>
      <c r="E385" s="119">
        <f>'19'!D34</f>
        <v>424588.21600000001</v>
      </c>
      <c r="F385" s="119">
        <f>'19'!E34</f>
        <v>549782.33440000005</v>
      </c>
      <c r="G385" s="118" t="s">
        <v>538</v>
      </c>
      <c r="H385" s="185">
        <f t="shared" si="11"/>
        <v>0.29486008721447887</v>
      </c>
    </row>
    <row r="386" spans="1:8" x14ac:dyDescent="0.25">
      <c r="A386" t="str">
        <f t="shared" si="10"/>
        <v>Г3088 Ф44</v>
      </c>
      <c r="B386" s="118" t="s">
        <v>556</v>
      </c>
      <c r="C386" s="117">
        <v>44</v>
      </c>
      <c r="D386" s="183">
        <v>8065</v>
      </c>
      <c r="E386" s="119">
        <f>'19'!D35</f>
        <v>473349.864</v>
      </c>
      <c r="F386" s="119">
        <f>'19'!E35</f>
        <v>612921.82640000002</v>
      </c>
      <c r="G386" s="118" t="s">
        <v>538</v>
      </c>
      <c r="H386" s="185">
        <f t="shared" si="11"/>
        <v>0.29486004542297706</v>
      </c>
    </row>
    <row r="387" spans="1:8" x14ac:dyDescent="0.25">
      <c r="A387" t="str">
        <f t="shared" si="10"/>
        <v>Г3088 Ф45,5</v>
      </c>
      <c r="B387" s="118" t="s">
        <v>556</v>
      </c>
      <c r="C387" s="117">
        <v>45.5</v>
      </c>
      <c r="D387" s="183">
        <v>8750</v>
      </c>
      <c r="E387" s="119">
        <f>'19'!D36</f>
        <v>503211.41520000005</v>
      </c>
      <c r="F387" s="119">
        <f>'19'!E36</f>
        <v>651588.38160000008</v>
      </c>
      <c r="G387" s="118" t="s">
        <v>538</v>
      </c>
      <c r="H387" s="185">
        <f t="shared" si="11"/>
        <v>0.2948600964090371</v>
      </c>
    </row>
    <row r="388" spans="1:8" x14ac:dyDescent="0.25">
      <c r="A388" t="str">
        <f t="shared" si="10"/>
        <v>Г3088 Ф51</v>
      </c>
      <c r="B388" s="118" t="s">
        <v>556</v>
      </c>
      <c r="C388" s="117">
        <v>51</v>
      </c>
      <c r="D388" s="183">
        <v>11000</v>
      </c>
      <c r="E388" s="119">
        <f>'19'!D38</f>
        <v>619725.41279999993</v>
      </c>
      <c r="F388" s="119">
        <f>'19'!E38</f>
        <v>802457.69759999996</v>
      </c>
      <c r="G388" s="118" t="s">
        <v>538</v>
      </c>
      <c r="H388" s="185">
        <f t="shared" si="11"/>
        <v>0.29486008000606567</v>
      </c>
    </row>
    <row r="389" spans="1:8" x14ac:dyDescent="0.25">
      <c r="A389" t="str">
        <f t="shared" si="10"/>
        <v>Г3088 Ф52</v>
      </c>
      <c r="B389" s="118" t="s">
        <v>556</v>
      </c>
      <c r="C389" s="117">
        <v>52</v>
      </c>
      <c r="D389" s="183">
        <v>11550</v>
      </c>
      <c r="E389" s="119">
        <f>'19'!D39</f>
        <v>646078.94000000006</v>
      </c>
      <c r="F389" s="119">
        <f>'19'!E39</f>
        <v>836581.84480000008</v>
      </c>
      <c r="G389" s="118" t="s">
        <v>538</v>
      </c>
      <c r="H389" s="185">
        <f t="shared" si="11"/>
        <v>0.2948601061040621</v>
      </c>
    </row>
    <row r="390" spans="1:8" x14ac:dyDescent="0.25">
      <c r="A390" t="str">
        <f t="shared" si="10"/>
        <v>Г3088 Ф54,5</v>
      </c>
      <c r="B390" s="118" t="s">
        <v>556</v>
      </c>
      <c r="C390" s="117">
        <v>54.5</v>
      </c>
      <c r="D390" s="183">
        <v>12700</v>
      </c>
      <c r="E390" s="119">
        <f>'19'!D40</f>
        <v>696483.54879999999</v>
      </c>
      <c r="F390" s="119">
        <f>'19'!E40</f>
        <v>901848.75040000002</v>
      </c>
      <c r="G390" s="118" t="s">
        <v>538</v>
      </c>
      <c r="H390" s="185">
        <f t="shared" si="11"/>
        <v>0.29486008959412202</v>
      </c>
    </row>
    <row r="391" spans="1:8" x14ac:dyDescent="0.25">
      <c r="A391" t="str">
        <f t="shared" ref="A391:A455" si="12">CONCATENATE(B391," Ф",C391)</f>
        <v>Г3088 Ф56</v>
      </c>
      <c r="B391" s="118" t="s">
        <v>556</v>
      </c>
      <c r="C391" s="117">
        <v>56</v>
      </c>
      <c r="D391" s="183">
        <v>13850</v>
      </c>
      <c r="E391" s="119">
        <f>'19'!D41</f>
        <v>0</v>
      </c>
      <c r="F391" s="119">
        <f>'19'!E41</f>
        <v>921179.91680000012</v>
      </c>
      <c r="G391" s="118" t="s">
        <v>538</v>
      </c>
      <c r="H391" s="185">
        <f t="shared" ref="H391:H454" si="13">IF(OR(E391=0,F391=0),0,F391/E391-1)</f>
        <v>0</v>
      </c>
    </row>
    <row r="392" spans="1:8" x14ac:dyDescent="0.25">
      <c r="A392" t="str">
        <f t="shared" si="12"/>
        <v>Г3088 Ф59,5</v>
      </c>
      <c r="B392" s="118" t="s">
        <v>556</v>
      </c>
      <c r="C392" s="117">
        <v>59.5</v>
      </c>
      <c r="D392" s="183">
        <v>15050</v>
      </c>
      <c r="E392" s="119">
        <f>'19'!D42</f>
        <v>749371.15759999992</v>
      </c>
      <c r="F392" s="119">
        <f>'19'!E42</f>
        <v>970330.76399999997</v>
      </c>
      <c r="G392" s="118" t="s">
        <v>538</v>
      </c>
      <c r="H392" s="185">
        <f t="shared" si="13"/>
        <v>0.29486003585681653</v>
      </c>
    </row>
    <row r="393" spans="1:8" x14ac:dyDescent="0.25">
      <c r="A393" t="str">
        <f t="shared" si="12"/>
        <v>Г3089 Ф11,5</v>
      </c>
      <c r="B393" s="118" t="s">
        <v>557</v>
      </c>
      <c r="C393" s="117">
        <v>11.5</v>
      </c>
      <c r="D393" s="183">
        <v>425.5</v>
      </c>
      <c r="E393" s="119">
        <f>'19'!D50</f>
        <v>79773.97050000001</v>
      </c>
      <c r="F393" s="119">
        <f>'19'!E50</f>
        <v>115657.59450000001</v>
      </c>
      <c r="G393" s="118" t="s">
        <v>540</v>
      </c>
      <c r="H393" s="185">
        <f t="shared" si="13"/>
        <v>0.44981619662518857</v>
      </c>
    </row>
    <row r="394" spans="1:8" x14ac:dyDescent="0.25">
      <c r="A394" t="str">
        <f t="shared" si="12"/>
        <v>Г3089 Ф12,5</v>
      </c>
      <c r="B394" s="118" t="s">
        <v>557</v>
      </c>
      <c r="C394" s="117">
        <v>12.5</v>
      </c>
      <c r="D394" s="183">
        <v>495.5</v>
      </c>
      <c r="E394" s="119">
        <f>'19'!D51</f>
        <v>86304.676500000001</v>
      </c>
      <c r="F394" s="119">
        <f>'19'!E51</f>
        <v>125125.9065</v>
      </c>
      <c r="G394" s="118" t="s">
        <v>540</v>
      </c>
      <c r="H394" s="185">
        <f t="shared" si="13"/>
        <v>0.4498160652974581</v>
      </c>
    </row>
    <row r="395" spans="1:8" x14ac:dyDescent="0.25">
      <c r="A395" t="str">
        <f t="shared" si="12"/>
        <v>Г3089 Ф13,5</v>
      </c>
      <c r="B395" s="118" t="s">
        <v>557</v>
      </c>
      <c r="C395" s="117">
        <v>13.5</v>
      </c>
      <c r="D395" s="183">
        <v>570.5</v>
      </c>
      <c r="E395" s="119">
        <f>'19'!D52</f>
        <v>90653.797500000001</v>
      </c>
      <c r="F395" s="119">
        <f>'19'!E52</f>
        <v>131205.58499999999</v>
      </c>
      <c r="G395" s="118" t="s">
        <v>540</v>
      </c>
      <c r="H395" s="185">
        <f t="shared" si="13"/>
        <v>0.4473258552682251</v>
      </c>
    </row>
    <row r="396" spans="1:8" x14ac:dyDescent="0.25">
      <c r="A396" t="str">
        <f t="shared" si="12"/>
        <v>Г3089 Ф14,5</v>
      </c>
      <c r="B396" s="118" t="s">
        <v>557</v>
      </c>
      <c r="C396" s="117">
        <v>14.5</v>
      </c>
      <c r="D396" s="183">
        <v>652</v>
      </c>
      <c r="E396" s="119">
        <f>'19'!D53</f>
        <v>95043.27</v>
      </c>
      <c r="F396" s="119">
        <f>'19'!E53</f>
        <v>137857.14600000001</v>
      </c>
      <c r="G396" s="118" t="s">
        <v>540</v>
      </c>
      <c r="H396" s="185">
        <f t="shared" si="13"/>
        <v>0.45046720299080611</v>
      </c>
    </row>
    <row r="397" spans="1:8" x14ac:dyDescent="0.25">
      <c r="A397" t="str">
        <f t="shared" si="12"/>
        <v>Г3089 Ф16</v>
      </c>
      <c r="B397" s="118" t="s">
        <v>557</v>
      </c>
      <c r="C397" s="117">
        <v>16</v>
      </c>
      <c r="D397" s="183">
        <v>805</v>
      </c>
      <c r="E397" s="119">
        <f>'19'!D54</f>
        <v>105883.80600000001</v>
      </c>
      <c r="F397" s="119">
        <f>'19'!E54</f>
        <v>153606.2115</v>
      </c>
      <c r="G397" s="118" t="s">
        <v>540</v>
      </c>
      <c r="H397" s="185">
        <f t="shared" si="13"/>
        <v>0.45070542231925437</v>
      </c>
    </row>
    <row r="398" spans="1:8" x14ac:dyDescent="0.25">
      <c r="A398" t="str">
        <f t="shared" si="12"/>
        <v>Г3089 Ф17</v>
      </c>
      <c r="B398" s="118" t="s">
        <v>557</v>
      </c>
      <c r="C398" s="117">
        <v>17</v>
      </c>
      <c r="D398" s="183">
        <v>900</v>
      </c>
      <c r="E398" s="119">
        <f>'19'!D55</f>
        <v>115469.613</v>
      </c>
      <c r="F398" s="119">
        <f>'19'!E55</f>
        <v>168290.6715</v>
      </c>
      <c r="G398" s="118" t="s">
        <v>540</v>
      </c>
      <c r="H398" s="185">
        <f t="shared" si="13"/>
        <v>0.45744553157894452</v>
      </c>
    </row>
    <row r="399" spans="1:8" x14ac:dyDescent="0.25">
      <c r="A399" t="str">
        <f t="shared" si="12"/>
        <v>Г3089 Ф19</v>
      </c>
      <c r="B399" s="118" t="s">
        <v>557</v>
      </c>
      <c r="C399" s="117">
        <v>19</v>
      </c>
      <c r="D399" s="183">
        <v>1090</v>
      </c>
      <c r="E399" s="119">
        <f>'19'!D56</f>
        <v>125289.444</v>
      </c>
      <c r="F399" s="119">
        <f>'19'!E56</f>
        <v>181694.98200000002</v>
      </c>
      <c r="G399" s="118" t="s">
        <v>540</v>
      </c>
      <c r="H399" s="185">
        <f t="shared" si="13"/>
        <v>0.45020183823307591</v>
      </c>
    </row>
    <row r="400" spans="1:8" x14ac:dyDescent="0.25">
      <c r="A400" t="str">
        <f t="shared" si="12"/>
        <v>Г3089 Ф25</v>
      </c>
      <c r="B400" s="118" t="s">
        <v>557</v>
      </c>
      <c r="C400" s="117">
        <v>25</v>
      </c>
      <c r="D400" s="183">
        <v>1975</v>
      </c>
      <c r="E400" s="119">
        <f>'19'!D57</f>
        <v>174965.448</v>
      </c>
      <c r="F400" s="119">
        <f>'19'!E57</f>
        <v>252297.45450000002</v>
      </c>
      <c r="G400" s="118" t="s">
        <v>540</v>
      </c>
      <c r="H400" s="185">
        <f t="shared" si="13"/>
        <v>0.44198444540890169</v>
      </c>
    </row>
    <row r="401" spans="1:8" x14ac:dyDescent="0.25">
      <c r="A401" t="str">
        <f t="shared" si="12"/>
        <v>Г3089 Ф28</v>
      </c>
      <c r="B401" s="118" t="s">
        <v>557</v>
      </c>
      <c r="C401" s="117">
        <v>28</v>
      </c>
      <c r="D401" s="183">
        <v>2355</v>
      </c>
      <c r="E401" s="119">
        <f>'19'!D58</f>
        <v>181828.0275</v>
      </c>
      <c r="F401" s="119">
        <f>'19'!E58</f>
        <v>262996.26150000002</v>
      </c>
      <c r="G401" s="118" t="s">
        <v>540</v>
      </c>
      <c r="H401" s="185">
        <f t="shared" si="13"/>
        <v>0.44640111382168524</v>
      </c>
    </row>
    <row r="402" spans="1:8" x14ac:dyDescent="0.25">
      <c r="A402" t="str">
        <f t="shared" si="12"/>
        <v>Г3089 Ф30</v>
      </c>
      <c r="B402" s="118" t="s">
        <v>557</v>
      </c>
      <c r="C402" s="117">
        <v>30</v>
      </c>
      <c r="D402" s="183">
        <v>2770</v>
      </c>
      <c r="E402" s="119">
        <f>'19'!D59</f>
        <v>201286.11300000001</v>
      </c>
      <c r="F402" s="119">
        <f>'19'!E59</f>
        <v>292259.625</v>
      </c>
      <c r="G402" s="118" t="s">
        <v>540</v>
      </c>
      <c r="H402" s="185">
        <f t="shared" si="13"/>
        <v>0.45196119416345426</v>
      </c>
    </row>
    <row r="403" spans="1:8" x14ac:dyDescent="0.25">
      <c r="A403" t="str">
        <f t="shared" si="12"/>
        <v>Г3089 Ф34</v>
      </c>
      <c r="B403" s="118" t="s">
        <v>557</v>
      </c>
      <c r="C403" s="117">
        <v>34</v>
      </c>
      <c r="D403" s="183">
        <v>3565</v>
      </c>
      <c r="E403" s="119">
        <f>'19'!D60</f>
        <v>241408.61850000001</v>
      </c>
      <c r="F403" s="119">
        <f>'19'!E60</f>
        <v>346008.81000000006</v>
      </c>
      <c r="G403" s="118" t="s">
        <v>540</v>
      </c>
      <c r="H403" s="185">
        <f t="shared" si="13"/>
        <v>0.43329104051850598</v>
      </c>
    </row>
    <row r="404" spans="1:8" x14ac:dyDescent="0.25">
      <c r="A404" t="str">
        <f t="shared" si="12"/>
        <v>Г3089 Ф39</v>
      </c>
      <c r="B404" s="118" t="s">
        <v>557</v>
      </c>
      <c r="C404" s="117">
        <v>39</v>
      </c>
      <c r="D404" s="183">
        <v>4610</v>
      </c>
      <c r="E404" s="119">
        <f>'19'!D61</f>
        <v>294304.12200000003</v>
      </c>
      <c r="F404" s="119">
        <f>'19'!E61</f>
        <v>420583.73700000002</v>
      </c>
      <c r="G404" s="118" t="s">
        <v>540</v>
      </c>
      <c r="H404" s="185">
        <f t="shared" si="13"/>
        <v>0.42907864878630542</v>
      </c>
    </row>
    <row r="405" spans="1:8" x14ac:dyDescent="0.25">
      <c r="A405" t="str">
        <f t="shared" si="12"/>
        <v>Г3089 Ф43</v>
      </c>
      <c r="B405" s="118" t="s">
        <v>557</v>
      </c>
      <c r="C405" s="117">
        <v>43</v>
      </c>
      <c r="D405" s="183">
        <v>5625</v>
      </c>
      <c r="E405" s="119">
        <f>'19'!D62</f>
        <v>343459.67250000004</v>
      </c>
      <c r="F405" s="119">
        <f>'19'!E62</f>
        <v>490526.32650000002</v>
      </c>
      <c r="G405" s="118" t="s">
        <v>540</v>
      </c>
      <c r="H405" s="185">
        <f t="shared" si="13"/>
        <v>0.42819191239984655</v>
      </c>
    </row>
    <row r="406" spans="1:8" x14ac:dyDescent="0.25">
      <c r="A406" t="str">
        <f t="shared" si="12"/>
        <v>Г3089 Ф51</v>
      </c>
      <c r="B406" s="118" t="s">
        <v>557</v>
      </c>
      <c r="C406" s="117">
        <v>51</v>
      </c>
      <c r="D406" s="183">
        <v>7905</v>
      </c>
      <c r="E406" s="119">
        <f>'19'!D63</f>
        <v>456238.34550000005</v>
      </c>
      <c r="F406" s="119">
        <f>'19'!E63</f>
        <v>649631.52449999994</v>
      </c>
      <c r="G406" s="118" t="s">
        <v>540</v>
      </c>
      <c r="H406" s="185">
        <f t="shared" si="13"/>
        <v>0.42388628861972721</v>
      </c>
    </row>
    <row r="407" spans="1:8" x14ac:dyDescent="0.25">
      <c r="A407" t="str">
        <f t="shared" si="12"/>
        <v>Г3089 Ф59,5</v>
      </c>
      <c r="B407" s="118" t="s">
        <v>557</v>
      </c>
      <c r="C407" s="117">
        <v>59.5</v>
      </c>
      <c r="D407" s="183">
        <v>10850</v>
      </c>
      <c r="E407" s="119">
        <f>'19'!D64</f>
        <v>602631.92850000004</v>
      </c>
      <c r="F407" s="119">
        <f>'19'!E64</f>
        <v>846618.04500000004</v>
      </c>
      <c r="G407" s="118" t="s">
        <v>540</v>
      </c>
      <c r="H407" s="185">
        <f t="shared" si="13"/>
        <v>0.40486755673118968</v>
      </c>
    </row>
    <row r="408" spans="1:8" x14ac:dyDescent="0.25">
      <c r="A408" t="str">
        <f t="shared" si="12"/>
        <v>Г3089 Ф64,5</v>
      </c>
      <c r="B408" s="118" t="s">
        <v>557</v>
      </c>
      <c r="C408" s="117">
        <v>64.5</v>
      </c>
      <c r="D408" s="183">
        <v>12600</v>
      </c>
      <c r="E408" s="119">
        <f>'19'!D65</f>
        <v>699155.74050000007</v>
      </c>
      <c r="F408" s="119">
        <f>'19'!E65</f>
        <v>957807.38550000009</v>
      </c>
      <c r="G408" s="118" t="s">
        <v>540</v>
      </c>
      <c r="H408" s="185">
        <f t="shared" si="13"/>
        <v>0.36994853938412309</v>
      </c>
    </row>
    <row r="409" spans="1:8" x14ac:dyDescent="0.25">
      <c r="A409" t="str">
        <f t="shared" si="12"/>
        <v>Г3089 Ф82</v>
      </c>
      <c r="B409" s="118" t="s">
        <v>557</v>
      </c>
      <c r="C409" s="117">
        <v>82</v>
      </c>
      <c r="D409" s="183">
        <v>20650</v>
      </c>
      <c r="E409" s="119">
        <f>'19'!D66</f>
        <v>992658.59700000007</v>
      </c>
      <c r="F409" s="119">
        <f>'19'!E66</f>
        <v>1387089.0179999999</v>
      </c>
      <c r="G409" s="118" t="s">
        <v>540</v>
      </c>
      <c r="H409" s="185">
        <f t="shared" si="13"/>
        <v>0.39734750919605433</v>
      </c>
    </row>
    <row r="410" spans="1:8" x14ac:dyDescent="0.25">
      <c r="A410" t="str">
        <f t="shared" si="12"/>
        <v>Г7665 Ф8,1</v>
      </c>
      <c r="B410" s="118" t="s">
        <v>558</v>
      </c>
      <c r="C410" s="117">
        <v>8.1</v>
      </c>
      <c r="D410" s="183">
        <v>236.5</v>
      </c>
      <c r="E410" s="119">
        <f>'20'!D6</f>
        <v>27643.003499999999</v>
      </c>
      <c r="F410" s="119">
        <f>'20'!E6</f>
        <v>35800.548000000003</v>
      </c>
      <c r="G410" s="118" t="s">
        <v>540</v>
      </c>
      <c r="H410" s="185">
        <f t="shared" si="13"/>
        <v>0.2951034065455298</v>
      </c>
    </row>
    <row r="411" spans="1:8" x14ac:dyDescent="0.25">
      <c r="A411" t="str">
        <f t="shared" si="12"/>
        <v>Г7665 Ф9,7</v>
      </c>
      <c r="B411" s="118" t="s">
        <v>558</v>
      </c>
      <c r="C411" s="117">
        <v>9.6999999999999993</v>
      </c>
      <c r="D411" s="183">
        <v>342.5</v>
      </c>
      <c r="E411" s="119">
        <f>'20'!D7</f>
        <v>33024.2745</v>
      </c>
      <c r="F411" s="119">
        <f>'20'!E7</f>
        <v>42761.428500000002</v>
      </c>
      <c r="G411" s="118" t="s">
        <v>540</v>
      </c>
      <c r="H411" s="185">
        <f t="shared" si="13"/>
        <v>0.29484838493575394</v>
      </c>
    </row>
    <row r="412" spans="1:8" x14ac:dyDescent="0.25">
      <c r="A412" t="str">
        <f t="shared" si="12"/>
        <v>Г7665 Ф11,5</v>
      </c>
      <c r="B412" s="118" t="s">
        <v>558</v>
      </c>
      <c r="C412" s="117">
        <v>11.5</v>
      </c>
      <c r="D412" s="183">
        <v>464</v>
      </c>
      <c r="E412" s="119">
        <f>'20'!D8</f>
        <v>38233.450499999999</v>
      </c>
      <c r="F412" s="119">
        <f>'20'!E8</f>
        <v>49521.034500000002</v>
      </c>
      <c r="G412" s="118" t="s">
        <v>540</v>
      </c>
      <c r="H412" s="185">
        <f t="shared" si="13"/>
        <v>0.29522797059606232</v>
      </c>
    </row>
    <row r="413" spans="1:8" x14ac:dyDescent="0.25">
      <c r="A413" t="str">
        <f t="shared" si="12"/>
        <v>Г7665 Ф13</v>
      </c>
      <c r="B413" s="118" t="s">
        <v>558</v>
      </c>
      <c r="C413" s="117">
        <v>13</v>
      </c>
      <c r="D413" s="183">
        <v>605</v>
      </c>
      <c r="E413" s="119">
        <f>'20'!D9</f>
        <v>45128.275499999996</v>
      </c>
      <c r="F413" s="119">
        <f>'20'!E9</f>
        <v>58448.281500000005</v>
      </c>
      <c r="G413" s="118" t="s">
        <v>540</v>
      </c>
      <c r="H413" s="185">
        <f t="shared" si="13"/>
        <v>0.29515876360043958</v>
      </c>
    </row>
    <row r="414" spans="1:8" x14ac:dyDescent="0.25">
      <c r="A414" t="str">
        <f t="shared" si="12"/>
        <v>Г7665 Ф14,5</v>
      </c>
      <c r="B414" s="118" t="s">
        <v>558</v>
      </c>
      <c r="C414" s="117">
        <v>14.5</v>
      </c>
      <c r="D414" s="183">
        <v>763.5</v>
      </c>
      <c r="E414" s="119">
        <f>'20'!D10</f>
        <v>52415.107500000006</v>
      </c>
      <c r="F414" s="119">
        <f>'20'!E10</f>
        <v>67902.250499999995</v>
      </c>
      <c r="G414" s="118" t="s">
        <v>540</v>
      </c>
      <c r="H414" s="185">
        <f t="shared" si="13"/>
        <v>0.29547097656911192</v>
      </c>
    </row>
    <row r="415" spans="1:8" x14ac:dyDescent="0.25">
      <c r="A415" t="str">
        <f t="shared" si="12"/>
        <v>Г7665 Ф16</v>
      </c>
      <c r="B415" s="118" t="s">
        <v>558</v>
      </c>
      <c r="C415" s="117">
        <v>16</v>
      </c>
      <c r="D415" s="183">
        <v>941.5</v>
      </c>
      <c r="E415" s="119">
        <f>'20'!D11</f>
        <v>63971.722499999996</v>
      </c>
      <c r="F415" s="119">
        <f>'20'!E11</f>
        <v>82848.160499999998</v>
      </c>
      <c r="G415" s="118" t="s">
        <v>540</v>
      </c>
      <c r="H415" s="185">
        <f t="shared" si="13"/>
        <v>0.29507471836482124</v>
      </c>
    </row>
    <row r="416" spans="1:8" x14ac:dyDescent="0.25">
      <c r="A416" t="str">
        <f t="shared" si="12"/>
        <v>Г7665 Ф17,5</v>
      </c>
      <c r="B416" s="118" t="s">
        <v>558</v>
      </c>
      <c r="C416" s="117">
        <v>17.5</v>
      </c>
      <c r="D416" s="183">
        <v>1140</v>
      </c>
      <c r="E416" s="119">
        <f>'20'!D12</f>
        <v>74363.40449999999</v>
      </c>
      <c r="F416" s="119">
        <f>'20'!E12</f>
        <v>96338.413499999995</v>
      </c>
      <c r="G416" s="118" t="s">
        <v>540</v>
      </c>
      <c r="H416" s="185">
        <f t="shared" si="13"/>
        <v>0.29550837737667068</v>
      </c>
    </row>
    <row r="417" spans="1:8" x14ac:dyDescent="0.25">
      <c r="A417" t="str">
        <f t="shared" si="12"/>
        <v>Г7665 Ф19,5</v>
      </c>
      <c r="B417" s="118" t="s">
        <v>558</v>
      </c>
      <c r="C417" s="117">
        <v>19.5</v>
      </c>
      <c r="D417" s="183">
        <v>1357.5</v>
      </c>
      <c r="E417" s="119">
        <f>'20'!D13</f>
        <v>84884.635500000004</v>
      </c>
      <c r="F417" s="119">
        <f>'20'!E13</f>
        <v>109919.92200000001</v>
      </c>
      <c r="G417" s="118" t="s">
        <v>540</v>
      </c>
      <c r="H417" s="185">
        <f t="shared" si="13"/>
        <v>0.29493307419574188</v>
      </c>
    </row>
    <row r="418" spans="1:8" x14ac:dyDescent="0.25">
      <c r="A418" t="str">
        <f t="shared" si="12"/>
        <v>Г7665 Ф21</v>
      </c>
      <c r="B418" s="118" t="s">
        <v>558</v>
      </c>
      <c r="C418" s="117">
        <v>21</v>
      </c>
      <c r="D418" s="183">
        <v>1594</v>
      </c>
      <c r="E418" s="119">
        <f>'20'!D14</f>
        <v>98553.63</v>
      </c>
      <c r="F418" s="119">
        <f>'20'!E14</f>
        <v>127704.3915</v>
      </c>
      <c r="G418" s="118" t="s">
        <v>540</v>
      </c>
      <c r="H418" s="185">
        <f t="shared" si="13"/>
        <v>0.29578577166564024</v>
      </c>
    </row>
    <row r="419" spans="1:8" x14ac:dyDescent="0.25">
      <c r="A419" t="str">
        <f t="shared" si="12"/>
        <v>Г7665 Ф22,5</v>
      </c>
      <c r="B419" s="118" t="s">
        <v>558</v>
      </c>
      <c r="C419" s="117">
        <v>22.5</v>
      </c>
      <c r="D419" s="183">
        <v>1857</v>
      </c>
      <c r="E419" s="119">
        <f>'20'!D15</f>
        <v>109553.35650000001</v>
      </c>
      <c r="F419" s="119">
        <f>'20'!E15</f>
        <v>141931.84950000001</v>
      </c>
      <c r="G419" s="118" t="s">
        <v>540</v>
      </c>
      <c r="H419" s="185">
        <f t="shared" si="13"/>
        <v>0.29554998618412931</v>
      </c>
    </row>
    <row r="420" spans="1:8" x14ac:dyDescent="0.25">
      <c r="A420" t="str">
        <f t="shared" si="12"/>
        <v>Г7665 Ф24</v>
      </c>
      <c r="B420" s="118" t="s">
        <v>558</v>
      </c>
      <c r="C420" s="117">
        <v>24</v>
      </c>
      <c r="D420" s="183">
        <v>2132</v>
      </c>
      <c r="E420" s="119">
        <f>'20'!D16</f>
        <v>123174.26100000001</v>
      </c>
      <c r="F420" s="119">
        <f>'20'!E16</f>
        <v>159466.89150000003</v>
      </c>
      <c r="G420" s="118" t="s">
        <v>540</v>
      </c>
      <c r="H420" s="185">
        <f t="shared" si="13"/>
        <v>0.29464459705587354</v>
      </c>
    </row>
    <row r="421" spans="1:8" x14ac:dyDescent="0.25">
      <c r="A421" t="str">
        <f t="shared" si="12"/>
        <v>Г7665 Ф25,5</v>
      </c>
      <c r="B421" s="118" t="s">
        <v>558</v>
      </c>
      <c r="C421" s="117">
        <v>25.5</v>
      </c>
      <c r="D421" s="183">
        <v>2426</v>
      </c>
      <c r="E421" s="119">
        <f>'20'!D17</f>
        <v>139897.93650000001</v>
      </c>
      <c r="F421" s="119">
        <f>'20'!E17</f>
        <v>181180.63949999999</v>
      </c>
      <c r="G421" s="118" t="s">
        <v>540</v>
      </c>
      <c r="H421" s="185">
        <f t="shared" si="13"/>
        <v>0.29509157913848116</v>
      </c>
    </row>
    <row r="422" spans="1:8" x14ac:dyDescent="0.25">
      <c r="A422" t="str">
        <f t="shared" si="12"/>
        <v>Г7665 Ф27,5</v>
      </c>
      <c r="B422" s="118" t="s">
        <v>558</v>
      </c>
      <c r="C422" s="117">
        <v>27.5</v>
      </c>
      <c r="D422" s="183">
        <v>2739</v>
      </c>
      <c r="E422" s="119">
        <f>'20'!D18</f>
        <v>157919.19150000002</v>
      </c>
      <c r="F422" s="119">
        <f>'20'!E18</f>
        <v>204521.83500000002</v>
      </c>
      <c r="G422" s="118" t="s">
        <v>540</v>
      </c>
      <c r="H422" s="185">
        <f t="shared" si="13"/>
        <v>0.29510436988274469</v>
      </c>
    </row>
    <row r="423" spans="1:8" x14ac:dyDescent="0.25">
      <c r="A423" t="str">
        <f t="shared" si="12"/>
        <v>Г7665 Ф29</v>
      </c>
      <c r="B423" s="118" t="s">
        <v>558</v>
      </c>
      <c r="C423" s="117">
        <v>29</v>
      </c>
      <c r="D423" s="183">
        <v>3071</v>
      </c>
      <c r="E423" s="119">
        <f>'20'!D19</f>
        <v>176491.99049999999</v>
      </c>
      <c r="F423" s="119">
        <f>'20'!E19</f>
        <v>228526.1685</v>
      </c>
      <c r="G423" s="118" t="s">
        <v>540</v>
      </c>
      <c r="H423" s="185">
        <f t="shared" si="13"/>
        <v>0.29482458582164406</v>
      </c>
    </row>
    <row r="424" spans="1:8" x14ac:dyDescent="0.25">
      <c r="A424" t="str">
        <f t="shared" si="12"/>
        <v>Г7665 Ф32</v>
      </c>
      <c r="B424" s="118" t="s">
        <v>558</v>
      </c>
      <c r="C424" s="117">
        <v>32</v>
      </c>
      <c r="D424" s="183">
        <v>3768</v>
      </c>
      <c r="E424" s="119">
        <f>'20'!D20</f>
        <v>212854.9185</v>
      </c>
      <c r="F424" s="119">
        <f>'20'!E20</f>
        <v>275776.35750000004</v>
      </c>
      <c r="G424" s="118" t="s">
        <v>540</v>
      </c>
      <c r="H424" s="185">
        <f t="shared" si="13"/>
        <v>0.2956071649337999</v>
      </c>
    </row>
    <row r="425" spans="1:8" x14ac:dyDescent="0.25">
      <c r="A425" t="str">
        <f t="shared" si="12"/>
        <v>Г7665 Ф35,5</v>
      </c>
      <c r="B425" s="118" t="s">
        <v>558</v>
      </c>
      <c r="C425" s="117">
        <v>35.5</v>
      </c>
      <c r="D425" s="183">
        <v>4562.5</v>
      </c>
      <c r="E425" s="119">
        <f>'20'!D21</f>
        <v>257071.15350000001</v>
      </c>
      <c r="F425" s="119">
        <f>'20'!E21</f>
        <v>332960.59650000004</v>
      </c>
      <c r="G425" s="118" t="s">
        <v>540</v>
      </c>
      <c r="H425" s="185">
        <f t="shared" si="13"/>
        <v>0.29520792965983267</v>
      </c>
    </row>
    <row r="426" spans="1:8" x14ac:dyDescent="0.25">
      <c r="A426" t="str">
        <f t="shared" si="12"/>
        <v>Г7665 Ф38,5</v>
      </c>
      <c r="B426" s="118" t="s">
        <v>558</v>
      </c>
      <c r="C426" s="117">
        <v>38.5</v>
      </c>
      <c r="D426" s="183">
        <v>5405</v>
      </c>
      <c r="E426" s="119">
        <f>'20'!D22</f>
        <v>300251.14350000001</v>
      </c>
      <c r="F426" s="119">
        <f>'20'!E22</f>
        <v>389012.95650000003</v>
      </c>
      <c r="G426" s="118" t="s">
        <v>540</v>
      </c>
      <c r="H426" s="185">
        <f t="shared" si="13"/>
        <v>0.29562522881782138</v>
      </c>
    </row>
    <row r="427" spans="1:8" x14ac:dyDescent="0.25">
      <c r="A427" t="str">
        <f t="shared" si="12"/>
        <v>Г7665 Ф42</v>
      </c>
      <c r="B427" s="118" t="s">
        <v>558</v>
      </c>
      <c r="C427" s="117">
        <v>42</v>
      </c>
      <c r="D427" s="183">
        <v>6349</v>
      </c>
      <c r="E427" s="119">
        <f>'20'!D23</f>
        <v>336807.10349999997</v>
      </c>
      <c r="F427" s="119">
        <f>'20'!E23</f>
        <v>436172.45700000005</v>
      </c>
      <c r="G427" s="118" t="s">
        <v>540</v>
      </c>
      <c r="H427" s="185">
        <f t="shared" si="13"/>
        <v>0.29502154933023883</v>
      </c>
    </row>
    <row r="428" spans="1:8" x14ac:dyDescent="0.25">
      <c r="A428" t="str">
        <f t="shared" si="12"/>
        <v>Г7665 Ф45</v>
      </c>
      <c r="B428" s="118" t="s">
        <v>558</v>
      </c>
      <c r="C428" s="117">
        <v>45</v>
      </c>
      <c r="D428" s="183">
        <v>7397.5</v>
      </c>
      <c r="E428" s="119">
        <f>'20'!D24</f>
        <v>392132.89500000002</v>
      </c>
      <c r="F428" s="119">
        <f>'20'!E24</f>
        <v>507774.94950000005</v>
      </c>
      <c r="G428" s="118" t="s">
        <v>540</v>
      </c>
      <c r="H428" s="185">
        <f t="shared" si="13"/>
        <v>0.29490526292113306</v>
      </c>
    </row>
    <row r="429" spans="1:8" x14ac:dyDescent="0.25">
      <c r="A429" t="str">
        <f t="shared" si="12"/>
        <v>Г7665 Ф48,5</v>
      </c>
      <c r="B429" s="118" t="s">
        <v>558</v>
      </c>
      <c r="C429" s="117">
        <v>48.5</v>
      </c>
      <c r="D429" s="183">
        <v>8496</v>
      </c>
      <c r="E429" s="119" t="e">
        <f>'20'!#REF!</f>
        <v>#REF!</v>
      </c>
      <c r="F429" s="119" t="e">
        <f>'20'!#REF!</f>
        <v>#REF!</v>
      </c>
      <c r="G429" s="118" t="s">
        <v>540</v>
      </c>
      <c r="H429" s="185" t="e">
        <f t="shared" si="13"/>
        <v>#REF!</v>
      </c>
    </row>
    <row r="430" spans="1:8" x14ac:dyDescent="0.25">
      <c r="A430" t="str">
        <f t="shared" si="12"/>
        <v>Г7667 Ф9,5</v>
      </c>
      <c r="B430" s="118" t="s">
        <v>559</v>
      </c>
      <c r="C430" s="117">
        <v>9.5</v>
      </c>
      <c r="D430" s="183">
        <v>371</v>
      </c>
      <c r="E430" s="119">
        <f>'20'!D31</f>
        <v>41935.477500000008</v>
      </c>
      <c r="F430" s="119">
        <f>'20'!E31</f>
        <v>54309.906000000003</v>
      </c>
      <c r="G430" s="118" t="s">
        <v>538</v>
      </c>
      <c r="H430" s="185">
        <f t="shared" si="13"/>
        <v>0.29508257059908272</v>
      </c>
    </row>
    <row r="431" spans="1:8" x14ac:dyDescent="0.25">
      <c r="A431" t="str">
        <f t="shared" si="12"/>
        <v>Г7667 Ф11,5</v>
      </c>
      <c r="B431" s="118" t="s">
        <v>559</v>
      </c>
      <c r="C431" s="117">
        <v>11.5</v>
      </c>
      <c r="D431" s="183">
        <v>506.5</v>
      </c>
      <c r="E431" s="119">
        <f>'20'!D32</f>
        <v>47229.798000000003</v>
      </c>
      <c r="F431" s="119">
        <f>'20'!E32</f>
        <v>61178.029500000004</v>
      </c>
      <c r="G431" s="118" t="s">
        <v>538</v>
      </c>
      <c r="H431" s="185">
        <f t="shared" si="13"/>
        <v>0.2953269353385759</v>
      </c>
    </row>
    <row r="432" spans="1:8" x14ac:dyDescent="0.25">
      <c r="A432" t="str">
        <f t="shared" si="12"/>
        <v>Г7667 Ф12,5</v>
      </c>
      <c r="B432" s="118" t="s">
        <v>559</v>
      </c>
      <c r="C432" s="117">
        <v>12.5</v>
      </c>
      <c r="D432" s="183">
        <v>654.5</v>
      </c>
      <c r="E432" s="119">
        <f>'20'!D33</f>
        <v>52656.481500000002</v>
      </c>
      <c r="F432" s="119">
        <f>'20'!E33</f>
        <v>68208.210000000006</v>
      </c>
      <c r="G432" s="118" t="s">
        <v>538</v>
      </c>
      <c r="H432" s="185">
        <f t="shared" si="13"/>
        <v>0.29534310035508171</v>
      </c>
    </row>
    <row r="433" spans="1:8" x14ac:dyDescent="0.25">
      <c r="A433" t="str">
        <f t="shared" si="12"/>
        <v>Г7667 Ф14</v>
      </c>
      <c r="B433" s="118" t="s">
        <v>559</v>
      </c>
      <c r="C433" s="117">
        <v>14</v>
      </c>
      <c r="D433" s="183">
        <v>821</v>
      </c>
      <c r="E433" s="119">
        <f>'20'!D34</f>
        <v>59573.766000000003</v>
      </c>
      <c r="F433" s="119">
        <f>'20'!E34</f>
        <v>77165.056500000006</v>
      </c>
      <c r="G433" s="118" t="s">
        <v>538</v>
      </c>
      <c r="H433" s="185">
        <f t="shared" si="13"/>
        <v>0.2952858561938152</v>
      </c>
    </row>
    <row r="434" spans="1:8" x14ac:dyDescent="0.25">
      <c r="A434" t="str">
        <f t="shared" si="12"/>
        <v>Г7667 Ф15,5</v>
      </c>
      <c r="B434" s="118" t="s">
        <v>559</v>
      </c>
      <c r="C434" s="117">
        <v>15.5</v>
      </c>
      <c r="D434" s="183">
        <v>1005</v>
      </c>
      <c r="E434" s="119">
        <f>'20'!D35</f>
        <v>71445.044999999998</v>
      </c>
      <c r="F434" s="119">
        <f>'20'!E35</f>
        <v>92494.909500000009</v>
      </c>
      <c r="G434" s="118" t="s">
        <v>538</v>
      </c>
      <c r="H434" s="185">
        <f t="shared" si="13"/>
        <v>0.29463015244794111</v>
      </c>
    </row>
    <row r="435" spans="1:8" x14ac:dyDescent="0.25">
      <c r="A435" t="str">
        <f t="shared" si="12"/>
        <v>Г7667 Ф17</v>
      </c>
      <c r="B435" s="118" t="s">
        <v>559</v>
      </c>
      <c r="C435" s="117">
        <v>17</v>
      </c>
      <c r="D435" s="183">
        <v>1210</v>
      </c>
      <c r="E435" s="119">
        <f>'20'!D36</f>
        <v>79203.747000000003</v>
      </c>
      <c r="F435" s="119">
        <f>'20'!E36</f>
        <v>102574.02750000001</v>
      </c>
      <c r="G435" s="118" t="s">
        <v>538</v>
      </c>
      <c r="H435" s="185">
        <f t="shared" si="13"/>
        <v>0.29506533952238412</v>
      </c>
    </row>
    <row r="436" spans="1:8" x14ac:dyDescent="0.25">
      <c r="A436" t="str">
        <f t="shared" si="12"/>
        <v>Г7667 Ф19</v>
      </c>
      <c r="B436" s="118" t="s">
        <v>559</v>
      </c>
      <c r="C436" s="117">
        <v>19</v>
      </c>
      <c r="D436" s="183">
        <v>1465</v>
      </c>
      <c r="E436" s="119">
        <f>'20'!D37</f>
        <v>84414.025500000003</v>
      </c>
      <c r="F436" s="119">
        <f>'20'!E37</f>
        <v>109292.61</v>
      </c>
      <c r="G436" s="118" t="s">
        <v>538</v>
      </c>
      <c r="H436" s="185">
        <f t="shared" si="13"/>
        <v>0.2947209821192569</v>
      </c>
    </row>
    <row r="437" spans="1:8" x14ac:dyDescent="0.25">
      <c r="A437" t="str">
        <f t="shared" si="12"/>
        <v>Г7667 Ф20,5</v>
      </c>
      <c r="B437" s="118" t="s">
        <v>559</v>
      </c>
      <c r="C437" s="117">
        <v>20.5</v>
      </c>
      <c r="D437" s="183">
        <v>1715</v>
      </c>
      <c r="E437" s="119">
        <f>'20'!D38</f>
        <v>94143.577500000014</v>
      </c>
      <c r="F437" s="119">
        <f>'20'!E38</f>
        <v>121971.92700000001</v>
      </c>
      <c r="G437" s="118" t="s">
        <v>538</v>
      </c>
      <c r="H437" s="185">
        <f t="shared" si="13"/>
        <v>0.29559477384423793</v>
      </c>
    </row>
    <row r="438" spans="1:8" x14ac:dyDescent="0.25">
      <c r="A438" t="str">
        <f t="shared" si="12"/>
        <v>Г7667 Ф22</v>
      </c>
      <c r="B438" s="118" t="s">
        <v>559</v>
      </c>
      <c r="C438" s="117">
        <v>22</v>
      </c>
      <c r="D438" s="183">
        <v>1990</v>
      </c>
      <c r="E438" s="119">
        <f>'20'!D39</f>
        <v>108423.90300000001</v>
      </c>
      <c r="F438" s="119">
        <f>'20'!E39</f>
        <v>140467.16250000001</v>
      </c>
      <c r="G438" s="118" t="s">
        <v>538</v>
      </c>
      <c r="H438" s="185">
        <f t="shared" si="13"/>
        <v>0.29553685684972986</v>
      </c>
    </row>
    <row r="439" spans="1:8" x14ac:dyDescent="0.25">
      <c r="A439" t="str">
        <f t="shared" si="12"/>
        <v>Г7667 Ф23,5</v>
      </c>
      <c r="B439" s="118" t="s">
        <v>559</v>
      </c>
      <c r="C439" s="117">
        <v>23.5</v>
      </c>
      <c r="D439" s="183">
        <v>2275</v>
      </c>
      <c r="E439" s="119">
        <f>'20'!D40</f>
        <v>123257.8095</v>
      </c>
      <c r="F439" s="119">
        <f>'20'!E40</f>
        <v>159573.7605</v>
      </c>
      <c r="G439" s="118" t="s">
        <v>538</v>
      </c>
      <c r="H439" s="185">
        <f t="shared" si="13"/>
        <v>0.29463407752674686</v>
      </c>
    </row>
    <row r="440" spans="1:8" x14ac:dyDescent="0.25">
      <c r="A440" t="str">
        <f t="shared" si="12"/>
        <v>Г7667 Ф25</v>
      </c>
      <c r="B440" s="118" t="s">
        <v>559</v>
      </c>
      <c r="C440" s="117">
        <v>25</v>
      </c>
      <c r="D440" s="183">
        <v>2580</v>
      </c>
      <c r="E440" s="119">
        <f>'20'!D41</f>
        <v>139163.19900000002</v>
      </c>
      <c r="F440" s="119">
        <f>'20'!E41</f>
        <v>180164.09250000003</v>
      </c>
      <c r="G440" s="118" t="s">
        <v>538</v>
      </c>
      <c r="H440" s="185">
        <f t="shared" si="13"/>
        <v>0.29462454006967742</v>
      </c>
    </row>
    <row r="441" spans="1:8" x14ac:dyDescent="0.25">
      <c r="A441" t="str">
        <f t="shared" si="12"/>
        <v>Г7667 Ф27</v>
      </c>
      <c r="B441" s="118" t="s">
        <v>559</v>
      </c>
      <c r="C441" s="117">
        <v>27</v>
      </c>
      <c r="D441" s="183">
        <v>2910</v>
      </c>
      <c r="E441" s="119">
        <f>'20'!D42</f>
        <v>156201.7065</v>
      </c>
      <c r="F441" s="119">
        <f>'20'!E42</f>
        <v>202311.84750000003</v>
      </c>
      <c r="G441" s="118" t="s">
        <v>538</v>
      </c>
      <c r="H441" s="185">
        <f t="shared" si="13"/>
        <v>0.29519614115099335</v>
      </c>
    </row>
    <row r="442" spans="1:8" x14ac:dyDescent="0.25">
      <c r="A442" t="str">
        <f t="shared" si="12"/>
        <v>Г7667 Ф28</v>
      </c>
      <c r="B442" s="118" t="s">
        <v>559</v>
      </c>
      <c r="C442" s="117">
        <v>28</v>
      </c>
      <c r="D442" s="183">
        <v>3290</v>
      </c>
      <c r="E442" s="119">
        <f>'20'!D43</f>
        <v>173331.73200000002</v>
      </c>
      <c r="F442" s="119">
        <f>'20'!E43</f>
        <v>224397.05400000003</v>
      </c>
      <c r="G442" s="118" t="s">
        <v>538</v>
      </c>
      <c r="H442" s="185">
        <f t="shared" si="13"/>
        <v>0.29461034866945202</v>
      </c>
    </row>
    <row r="443" spans="1:8" x14ac:dyDescent="0.25">
      <c r="A443" t="str">
        <f t="shared" si="12"/>
        <v>Г7667 Ф31</v>
      </c>
      <c r="B443" s="118" t="s">
        <v>559</v>
      </c>
      <c r="C443" s="117">
        <v>31</v>
      </c>
      <c r="D443" s="183">
        <v>4030</v>
      </c>
      <c r="E443" s="119">
        <f>'20'!D44</f>
        <v>212026.20600000001</v>
      </c>
      <c r="F443" s="119">
        <f>'20'!E44</f>
        <v>274564.37400000001</v>
      </c>
      <c r="G443" s="118" t="s">
        <v>538</v>
      </c>
      <c r="H443" s="185">
        <f t="shared" si="13"/>
        <v>0.29495489816952158</v>
      </c>
    </row>
    <row r="444" spans="1:8" x14ac:dyDescent="0.25">
      <c r="A444" t="str">
        <f t="shared" si="12"/>
        <v>Г7667 Ф34</v>
      </c>
      <c r="B444" s="118" t="s">
        <v>559</v>
      </c>
      <c r="C444" s="117">
        <v>34</v>
      </c>
      <c r="D444" s="183">
        <v>4860</v>
      </c>
      <c r="E444" s="119">
        <f>'20'!D45</f>
        <v>248140.7145</v>
      </c>
      <c r="F444" s="119">
        <f>'20'!E45</f>
        <v>321442.11749999999</v>
      </c>
      <c r="G444" s="118" t="s">
        <v>538</v>
      </c>
      <c r="H444" s="185">
        <f t="shared" si="13"/>
        <v>0.29540256280675781</v>
      </c>
    </row>
    <row r="445" spans="1:8" x14ac:dyDescent="0.25">
      <c r="A445" t="str">
        <f t="shared" si="12"/>
        <v>Г7667 Ф37</v>
      </c>
      <c r="B445" s="118" t="s">
        <v>559</v>
      </c>
      <c r="C445" s="117">
        <v>37</v>
      </c>
      <c r="D445" s="183">
        <v>5740</v>
      </c>
      <c r="E445" s="119">
        <f>'20'!D46</f>
        <v>292168.8</v>
      </c>
      <c r="F445" s="119">
        <f>'20'!E46</f>
        <v>378312.25950000004</v>
      </c>
      <c r="G445" s="118" t="s">
        <v>538</v>
      </c>
      <c r="H445" s="185">
        <f t="shared" si="13"/>
        <v>0.29484140503708844</v>
      </c>
    </row>
    <row r="446" spans="1:8" x14ac:dyDescent="0.25">
      <c r="A446" t="str">
        <f t="shared" si="12"/>
        <v>Г7667 Ф41</v>
      </c>
      <c r="B446" s="118" t="s">
        <v>559</v>
      </c>
      <c r="C446" s="117">
        <v>41</v>
      </c>
      <c r="D446" s="183">
        <v>6835</v>
      </c>
      <c r="E446" s="119">
        <f>'20'!D47</f>
        <v>341309.46150000003</v>
      </c>
      <c r="F446" s="119">
        <f>'20'!E47</f>
        <v>441925.30200000003</v>
      </c>
      <c r="G446" s="118" t="s">
        <v>538</v>
      </c>
      <c r="H446" s="185">
        <f t="shared" si="13"/>
        <v>0.29479358719740612</v>
      </c>
    </row>
    <row r="447" spans="1:8" x14ac:dyDescent="0.25">
      <c r="A447" t="str">
        <f t="shared" si="12"/>
        <v>Г7667 Ф44</v>
      </c>
      <c r="B447" s="118" t="s">
        <v>559</v>
      </c>
      <c r="C447" s="117">
        <v>44</v>
      </c>
      <c r="D447" s="183">
        <v>7930</v>
      </c>
      <c r="E447" s="119">
        <f>'20'!D48</f>
        <v>387502.04850000003</v>
      </c>
      <c r="F447" s="119">
        <f>'20'!E48</f>
        <v>501687.35399999999</v>
      </c>
      <c r="G447" s="118" t="s">
        <v>538</v>
      </c>
      <c r="H447" s="185">
        <f t="shared" si="13"/>
        <v>0.29467019836928676</v>
      </c>
    </row>
    <row r="448" spans="1:8" x14ac:dyDescent="0.25">
      <c r="A448" t="str">
        <f t="shared" si="12"/>
        <v>Г7667 Ф47</v>
      </c>
      <c r="B448" s="118" t="s">
        <v>559</v>
      </c>
      <c r="C448" s="117">
        <v>47</v>
      </c>
      <c r="D448" s="183">
        <v>9080</v>
      </c>
      <c r="E448" s="119">
        <f>'20'!D49</f>
        <v>439342.06050000002</v>
      </c>
      <c r="F448" s="119">
        <f>'20'!E49</f>
        <v>568780.73699999996</v>
      </c>
      <c r="G448" s="118" t="s">
        <v>538</v>
      </c>
      <c r="H448" s="185">
        <f t="shared" si="13"/>
        <v>0.29461935957756991</v>
      </c>
    </row>
    <row r="449" spans="1:8" x14ac:dyDescent="0.25">
      <c r="A449" t="str">
        <f t="shared" si="12"/>
        <v>Г7668 Ф8,1</v>
      </c>
      <c r="B449" s="118" t="s">
        <v>560</v>
      </c>
      <c r="C449" s="117">
        <v>8.1</v>
      </c>
      <c r="D449" s="183">
        <v>253.5</v>
      </c>
      <c r="E449" s="119">
        <f>'21'!D6</f>
        <v>21369.736500000003</v>
      </c>
      <c r="F449" s="119">
        <f>'21'!E6</f>
        <v>28599.52</v>
      </c>
      <c r="G449" s="118" t="s">
        <v>540</v>
      </c>
      <c r="H449" s="185">
        <f t="shared" si="13"/>
        <v>0.33831879489950656</v>
      </c>
    </row>
    <row r="450" spans="1:8" x14ac:dyDescent="0.25">
      <c r="A450" t="str">
        <f t="shared" si="12"/>
        <v>Г7668 Ф9</v>
      </c>
      <c r="B450" s="118" t="s">
        <v>560</v>
      </c>
      <c r="C450" s="117">
        <v>9</v>
      </c>
      <c r="D450" s="183">
        <v>310.5</v>
      </c>
      <c r="E450" s="119">
        <f>'21'!D7</f>
        <v>23936.461500000001</v>
      </c>
      <c r="F450" s="119">
        <f>'21'!E7</f>
        <v>32091.61</v>
      </c>
      <c r="G450" s="118" t="s">
        <v>540</v>
      </c>
      <c r="H450" s="185">
        <f t="shared" si="13"/>
        <v>0.34069983568791073</v>
      </c>
    </row>
    <row r="451" spans="1:8" x14ac:dyDescent="0.25">
      <c r="A451" t="str">
        <f t="shared" si="12"/>
        <v>Г7668 Ф9,7</v>
      </c>
      <c r="B451" s="118" t="s">
        <v>560</v>
      </c>
      <c r="C451" s="117">
        <v>9.6999999999999993</v>
      </c>
      <c r="D451" s="183">
        <v>383.5</v>
      </c>
      <c r="E451" s="119">
        <f>'21'!D8</f>
        <v>28299.946500000002</v>
      </c>
      <c r="F451" s="119">
        <f>'21'!E8</f>
        <v>38144.86</v>
      </c>
      <c r="G451" s="118" t="s">
        <v>540</v>
      </c>
      <c r="H451" s="185">
        <f t="shared" si="13"/>
        <v>0.3478774597683425</v>
      </c>
    </row>
    <row r="452" spans="1:8" x14ac:dyDescent="0.25">
      <c r="A452" t="str">
        <f t="shared" si="12"/>
        <v>Г7668 Ф11,5</v>
      </c>
      <c r="B452" s="118" t="s">
        <v>560</v>
      </c>
      <c r="C452" s="117">
        <v>11.5</v>
      </c>
      <c r="D452" s="183">
        <v>513</v>
      </c>
      <c r="E452" s="119">
        <f>'21'!D9</f>
        <v>35361.501000000004</v>
      </c>
      <c r="F452" s="119">
        <f>'21'!E9</f>
        <v>45798.57</v>
      </c>
      <c r="G452" s="118" t="s">
        <v>540</v>
      </c>
      <c r="H452" s="185">
        <f t="shared" si="13"/>
        <v>0.29515344950996258</v>
      </c>
    </row>
    <row r="453" spans="1:8" x14ac:dyDescent="0.25">
      <c r="A453" t="str">
        <f t="shared" si="12"/>
        <v>Г7668 Ф13,5</v>
      </c>
      <c r="B453" s="118" t="s">
        <v>560</v>
      </c>
      <c r="C453" s="117">
        <v>13.5</v>
      </c>
      <c r="D453" s="183">
        <v>696.5</v>
      </c>
      <c r="E453" s="119">
        <f>'21'!D10</f>
        <v>43773.733500000002</v>
      </c>
      <c r="F453" s="119">
        <f>'21'!E10</f>
        <v>56724.95</v>
      </c>
      <c r="G453" s="118" t="s">
        <v>540</v>
      </c>
      <c r="H453" s="185">
        <f t="shared" si="13"/>
        <v>0.29586730361941815</v>
      </c>
    </row>
    <row r="454" spans="1:8" x14ac:dyDescent="0.25">
      <c r="A454" t="str">
        <f t="shared" si="12"/>
        <v>Г7668 Ф15</v>
      </c>
      <c r="B454" s="118" t="s">
        <v>560</v>
      </c>
      <c r="C454" s="117">
        <v>15</v>
      </c>
      <c r="D454" s="183">
        <v>812</v>
      </c>
      <c r="E454" s="119">
        <f>'21'!D11</f>
        <v>50713.981500000002</v>
      </c>
      <c r="F454" s="119">
        <f>'21'!E11</f>
        <v>65718.899999999994</v>
      </c>
      <c r="G454" s="118" t="s">
        <v>540</v>
      </c>
      <c r="H454" s="185">
        <f t="shared" si="13"/>
        <v>0.29587340721808619</v>
      </c>
    </row>
    <row r="455" spans="1:8" x14ac:dyDescent="0.25">
      <c r="A455" t="str">
        <f t="shared" si="12"/>
        <v>Г7668 Ф16,5</v>
      </c>
      <c r="B455" s="118" t="s">
        <v>560</v>
      </c>
      <c r="C455" s="117">
        <v>16.5</v>
      </c>
      <c r="D455" s="183">
        <v>1045</v>
      </c>
      <c r="E455" s="119">
        <f>'21'!D12</f>
        <v>65050.523999999998</v>
      </c>
      <c r="F455" s="119">
        <f>'21'!E12</f>
        <v>84289.78</v>
      </c>
      <c r="G455" s="118" t="s">
        <v>540</v>
      </c>
      <c r="H455" s="185">
        <f t="shared" ref="H455:H524" si="14">IF(OR(E455=0,F455=0),0,F455/E455-1)</f>
        <v>0.29575866291253861</v>
      </c>
    </row>
    <row r="456" spans="1:8" x14ac:dyDescent="0.25">
      <c r="A456" t="str">
        <f t="shared" ref="A456:A529" si="15">CONCATENATE(B456," Ф",C456)</f>
        <v>Г7668 Ф18</v>
      </c>
      <c r="B456" s="118" t="s">
        <v>560</v>
      </c>
      <c r="C456" s="117">
        <v>18</v>
      </c>
      <c r="D456" s="183">
        <v>1245</v>
      </c>
      <c r="E456" s="119">
        <f>'21'!D13</f>
        <v>76344.030000000013</v>
      </c>
      <c r="F456" s="119">
        <f>'21'!E13</f>
        <v>98903.58</v>
      </c>
      <c r="G456" s="118" t="s">
        <v>540</v>
      </c>
      <c r="H456" s="185">
        <f t="shared" si="14"/>
        <v>0.29549854782358209</v>
      </c>
    </row>
    <row r="457" spans="1:8" x14ac:dyDescent="0.25">
      <c r="A457" t="str">
        <f t="shared" si="15"/>
        <v>Г7668 Ф20</v>
      </c>
      <c r="B457" s="118" t="s">
        <v>560</v>
      </c>
      <c r="C457" s="117">
        <v>20</v>
      </c>
      <c r="D457" s="183">
        <v>1520</v>
      </c>
      <c r="E457" s="119">
        <f>'21'!D14</f>
        <v>89623.453500000003</v>
      </c>
      <c r="F457" s="119">
        <f>'21'!E14</f>
        <v>116131.83</v>
      </c>
      <c r="G457" s="118" t="s">
        <v>540</v>
      </c>
      <c r="H457" s="185">
        <f t="shared" si="14"/>
        <v>0.29577499487899117</v>
      </c>
    </row>
    <row r="458" spans="1:8" x14ac:dyDescent="0.25">
      <c r="A458" t="str">
        <f t="shared" si="15"/>
        <v>Г7668 Ф22</v>
      </c>
      <c r="B458" s="118" t="s">
        <v>560</v>
      </c>
      <c r="C458" s="117">
        <v>22</v>
      </c>
      <c r="D458" s="183">
        <v>1830</v>
      </c>
      <c r="E458" s="119">
        <f>'21'!D15</f>
        <v>101380.19850000001</v>
      </c>
      <c r="F458" s="119">
        <f>'21'!E15</f>
        <v>131318.87</v>
      </c>
      <c r="G458" s="118" t="s">
        <v>540</v>
      </c>
      <c r="H458" s="185">
        <f t="shared" si="14"/>
        <v>0.29531083922665613</v>
      </c>
    </row>
    <row r="459" spans="1:8" x14ac:dyDescent="0.25">
      <c r="A459" t="str">
        <f t="shared" si="15"/>
        <v>Г7668 Ф23,5</v>
      </c>
      <c r="B459" s="118" t="s">
        <v>560</v>
      </c>
      <c r="C459" s="117">
        <v>23.5</v>
      </c>
      <c r="D459" s="183">
        <v>2130</v>
      </c>
      <c r="E459" s="119">
        <f>'21'!D16</f>
        <v>117427.338</v>
      </c>
      <c r="F459" s="119">
        <f>'21'!E16</f>
        <v>152146.63</v>
      </c>
      <c r="G459" s="118" t="s">
        <v>540</v>
      </c>
      <c r="H459" s="185">
        <f t="shared" si="14"/>
        <v>0.29566617613353374</v>
      </c>
    </row>
    <row r="460" spans="1:8" x14ac:dyDescent="0.25">
      <c r="A460" t="str">
        <f t="shared" si="15"/>
        <v>Г7668 Ф25,5</v>
      </c>
      <c r="B460" s="118" t="s">
        <v>560</v>
      </c>
      <c r="C460" s="117">
        <v>25.5</v>
      </c>
      <c r="D460" s="183">
        <v>2495</v>
      </c>
      <c r="E460" s="119">
        <f>'21'!D17</f>
        <v>134874.92550000001</v>
      </c>
      <c r="F460" s="119">
        <f>'21'!E17</f>
        <v>174750.15</v>
      </c>
      <c r="G460" s="118" t="s">
        <v>540</v>
      </c>
      <c r="H460" s="185">
        <f t="shared" si="14"/>
        <v>0.29564594272936207</v>
      </c>
    </row>
    <row r="461" spans="1:8" x14ac:dyDescent="0.25">
      <c r="A461" t="str">
        <f t="shared" si="15"/>
        <v>Г7668 Ф27</v>
      </c>
      <c r="B461" s="118" t="s">
        <v>560</v>
      </c>
      <c r="C461" s="117">
        <v>27</v>
      </c>
      <c r="D461" s="183">
        <v>2800</v>
      </c>
      <c r="E461" s="119">
        <f>'21'!D18</f>
        <v>151096.995</v>
      </c>
      <c r="F461" s="119">
        <f>'21'!E18</f>
        <v>195618.03</v>
      </c>
      <c r="G461" s="118" t="s">
        <v>540</v>
      </c>
      <c r="H461" s="185">
        <f t="shared" si="14"/>
        <v>0.29465202137209956</v>
      </c>
    </row>
    <row r="462" spans="1:8" x14ac:dyDescent="0.25">
      <c r="A462" t="str">
        <f t="shared" si="15"/>
        <v>Г7668 Ф29</v>
      </c>
      <c r="B462" s="118" t="s">
        <v>560</v>
      </c>
      <c r="C462" s="117">
        <v>29</v>
      </c>
      <c r="D462" s="183">
        <v>3215</v>
      </c>
      <c r="E462" s="119">
        <f>'21'!D19</f>
        <v>171972.09750000003</v>
      </c>
      <c r="F462" s="119">
        <f>'21'!E19</f>
        <v>222659.57</v>
      </c>
      <c r="G462" s="118" t="s">
        <v>540</v>
      </c>
      <c r="H462" s="185">
        <f t="shared" si="14"/>
        <v>0.29474242180479293</v>
      </c>
    </row>
    <row r="463" spans="1:8" x14ac:dyDescent="0.25">
      <c r="A463" t="str">
        <f t="shared" si="15"/>
        <v>Г7668 Ф31</v>
      </c>
      <c r="B463" s="118" t="s">
        <v>560</v>
      </c>
      <c r="C463" s="117">
        <v>31</v>
      </c>
      <c r="D463" s="183">
        <v>3655</v>
      </c>
      <c r="E463" s="119">
        <f>'21'!D20</f>
        <v>193943.53650000002</v>
      </c>
      <c r="F463" s="119">
        <f>'21'!E20</f>
        <v>251141.48</v>
      </c>
      <c r="G463" s="118" t="s">
        <v>540</v>
      </c>
      <c r="H463" s="185">
        <f t="shared" si="14"/>
        <v>0.29492059664489001</v>
      </c>
    </row>
    <row r="464" spans="1:8" x14ac:dyDescent="0.25">
      <c r="A464" t="str">
        <f t="shared" si="15"/>
        <v>Г7668 Ф33</v>
      </c>
      <c r="B464" s="118" t="s">
        <v>560</v>
      </c>
      <c r="C464" s="117">
        <v>33</v>
      </c>
      <c r="D464" s="183">
        <v>4155</v>
      </c>
      <c r="E464" s="119">
        <f>'21'!D21</f>
        <v>220249.60649999999</v>
      </c>
      <c r="F464" s="119">
        <f>'21'!E21</f>
        <v>285389.38</v>
      </c>
      <c r="G464" s="118" t="s">
        <v>540</v>
      </c>
      <c r="H464" s="185">
        <f t="shared" si="14"/>
        <v>0.2957543240832079</v>
      </c>
    </row>
    <row r="465" spans="1:8" x14ac:dyDescent="0.25">
      <c r="A465" t="str">
        <f t="shared" si="15"/>
        <v>Г7668 Ф34,5</v>
      </c>
      <c r="B465" s="118" t="s">
        <v>560</v>
      </c>
      <c r="C465" s="117">
        <v>34.5</v>
      </c>
      <c r="D465" s="183">
        <v>4550</v>
      </c>
      <c r="E465" s="119">
        <f>'21'!D22</f>
        <v>240112.63500000001</v>
      </c>
      <c r="F465" s="119">
        <f>'21'!E22</f>
        <v>311089.67</v>
      </c>
      <c r="G465" s="118" t="s">
        <v>540</v>
      </c>
      <c r="H465" s="185">
        <f t="shared" si="14"/>
        <v>0.29559891756633294</v>
      </c>
    </row>
    <row r="466" spans="1:8" x14ac:dyDescent="0.25">
      <c r="A466" t="str">
        <f t="shared" si="15"/>
        <v>Г7668 Ф36,5</v>
      </c>
      <c r="B466" s="118" t="s">
        <v>560</v>
      </c>
      <c r="C466" s="117">
        <v>36.5</v>
      </c>
      <c r="D466" s="183">
        <v>4965</v>
      </c>
      <c r="E466" s="119">
        <f>'21'!D23</f>
        <v>261069.23850000001</v>
      </c>
      <c r="F466" s="119">
        <f>'21'!E23</f>
        <v>338290.21</v>
      </c>
      <c r="G466" s="118" t="s">
        <v>540</v>
      </c>
      <c r="H466" s="185">
        <f t="shared" si="14"/>
        <v>0.29578732425038279</v>
      </c>
    </row>
    <row r="467" spans="1:8" x14ac:dyDescent="0.25">
      <c r="A467" t="str">
        <f t="shared" si="15"/>
        <v>Г7668 Ф38</v>
      </c>
      <c r="B467" s="118" t="s">
        <v>560</v>
      </c>
      <c r="C467" s="117">
        <v>38</v>
      </c>
      <c r="D467" s="183">
        <v>5510</v>
      </c>
      <c r="E467" s="119">
        <f>'21'!D24</f>
        <v>293223.98700000002</v>
      </c>
      <c r="F467" s="119">
        <f>'21'!E24</f>
        <v>379873.17</v>
      </c>
      <c r="G467" s="118" t="s">
        <v>540</v>
      </c>
      <c r="H467" s="185">
        <f t="shared" si="14"/>
        <v>0.29550509795093927</v>
      </c>
    </row>
    <row r="468" spans="1:8" x14ac:dyDescent="0.25">
      <c r="A468" t="str">
        <f t="shared" si="15"/>
        <v>Г7668 Ф39,5</v>
      </c>
      <c r="B468" s="118" t="s">
        <v>560</v>
      </c>
      <c r="C468" s="117">
        <v>39.5</v>
      </c>
      <c r="D468" s="183">
        <v>6080</v>
      </c>
      <c r="E468" s="119">
        <f>'21'!D25</f>
        <v>323516.37150000001</v>
      </c>
      <c r="F468" s="119">
        <f>'21'!E25</f>
        <v>419013.9</v>
      </c>
      <c r="G468" s="118" t="s">
        <v>540</v>
      </c>
      <c r="H468" s="185">
        <f t="shared" si="14"/>
        <v>0.29518607685051879</v>
      </c>
    </row>
    <row r="469" spans="1:8" x14ac:dyDescent="0.25">
      <c r="A469" t="str">
        <f t="shared" si="15"/>
        <v>Г7668 Ф42</v>
      </c>
      <c r="B469" s="118" t="s">
        <v>560</v>
      </c>
      <c r="C469" s="117">
        <v>42</v>
      </c>
      <c r="D469" s="183">
        <v>6750</v>
      </c>
      <c r="E469" s="119">
        <f>'21'!D26</f>
        <v>354534.72600000002</v>
      </c>
      <c r="F469" s="119">
        <f>'21'!E26</f>
        <v>459152.67</v>
      </c>
      <c r="G469" s="118" t="s">
        <v>540</v>
      </c>
      <c r="H469" s="185">
        <f t="shared" si="14"/>
        <v>0.29508518158528685</v>
      </c>
    </row>
    <row r="470" spans="1:8" x14ac:dyDescent="0.25">
      <c r="A470" t="str">
        <f t="shared" si="15"/>
        <v>Г7668 Ф43</v>
      </c>
      <c r="B470" s="118" t="s">
        <v>560</v>
      </c>
      <c r="C470" s="117">
        <v>43</v>
      </c>
      <c r="D470" s="183">
        <v>7120</v>
      </c>
      <c r="E470" s="119">
        <f>'21'!D27</f>
        <v>373780.56449999998</v>
      </c>
      <c r="F470" s="119">
        <f>'21'!E27</f>
        <v>484026.66</v>
      </c>
      <c r="G470" s="118" t="s">
        <v>540</v>
      </c>
      <c r="H470" s="185">
        <f t="shared" si="14"/>
        <v>0.29494871047528748</v>
      </c>
    </row>
    <row r="471" spans="1:8" x14ac:dyDescent="0.25">
      <c r="A471" t="str">
        <f t="shared" si="15"/>
        <v>Г7668 Ф44,5</v>
      </c>
      <c r="B471" s="118" t="s">
        <v>560</v>
      </c>
      <c r="C471" s="117">
        <v>44.5</v>
      </c>
      <c r="D471" s="183">
        <v>7770</v>
      </c>
      <c r="E471" s="119">
        <f>'21'!D28</f>
        <v>407878.24349999998</v>
      </c>
      <c r="F471" s="119">
        <f>'21'!E28</f>
        <v>528156.47</v>
      </c>
      <c r="G471" s="118" t="s">
        <v>540</v>
      </c>
      <c r="H471" s="185">
        <f t="shared" si="14"/>
        <v>0.29488757592926129</v>
      </c>
    </row>
    <row r="472" spans="1:8" x14ac:dyDescent="0.25">
      <c r="A472" t="str">
        <f t="shared" si="15"/>
        <v>Г7668 Ф46,5</v>
      </c>
      <c r="B472" s="118" t="s">
        <v>560</v>
      </c>
      <c r="C472" s="117">
        <v>46.5</v>
      </c>
      <c r="D472" s="183">
        <v>8400</v>
      </c>
      <c r="E472" s="119">
        <f>'21'!D29</f>
        <v>432366.48</v>
      </c>
      <c r="F472" s="119">
        <f>'21'!E29</f>
        <v>559799.6</v>
      </c>
      <c r="G472" s="118" t="s">
        <v>540</v>
      </c>
      <c r="H472" s="185">
        <f t="shared" si="14"/>
        <v>0.29473404136231829</v>
      </c>
    </row>
    <row r="473" spans="1:8" x14ac:dyDescent="0.25">
      <c r="A473" t="str">
        <f t="shared" si="15"/>
        <v>Г7668 Ф48,5</v>
      </c>
      <c r="B473" s="118" t="s">
        <v>560</v>
      </c>
      <c r="C473" s="117">
        <v>48.5</v>
      </c>
      <c r="D473" s="183">
        <v>9155</v>
      </c>
      <c r="E473" s="119">
        <f>'21'!D30</f>
        <v>457075.68900000001</v>
      </c>
      <c r="F473" s="119">
        <f>'21'!E30</f>
        <v>591890.61</v>
      </c>
      <c r="G473" s="118" t="s">
        <v>540</v>
      </c>
      <c r="H473" s="185">
        <f t="shared" si="14"/>
        <v>0.29495097692671202</v>
      </c>
    </row>
    <row r="474" spans="1:8" x14ac:dyDescent="0.25">
      <c r="A474" t="str">
        <f t="shared" si="15"/>
        <v>Г7668 Ф50,5</v>
      </c>
      <c r="B474" s="118" t="s">
        <v>560</v>
      </c>
      <c r="C474" s="117">
        <v>50.5</v>
      </c>
      <c r="D474" s="183">
        <v>9940</v>
      </c>
      <c r="E474" s="119">
        <f>'21'!D31</f>
        <v>495840.83850000001</v>
      </c>
      <c r="F474" s="119">
        <f>'21'!E31</f>
        <v>642240.29</v>
      </c>
      <c r="G474" s="118" t="s">
        <v>540</v>
      </c>
      <c r="H474" s="185">
        <f t="shared" si="14"/>
        <v>0.29525492886564653</v>
      </c>
    </row>
    <row r="475" spans="1:8" x14ac:dyDescent="0.25">
      <c r="A475" t="str">
        <f t="shared" si="15"/>
        <v>Г7668 Ф53,5</v>
      </c>
      <c r="B475" s="118" t="s">
        <v>560</v>
      </c>
      <c r="C475" s="117">
        <v>53.5</v>
      </c>
      <c r="D475" s="183">
        <v>11150</v>
      </c>
      <c r="E475" s="119">
        <f>'21'!D32</f>
        <v>555661.74300000002</v>
      </c>
      <c r="F475" s="119">
        <f>'21'!E32</f>
        <v>719758.74</v>
      </c>
      <c r="G475" s="118" t="s">
        <v>540</v>
      </c>
      <c r="H475" s="185">
        <f t="shared" si="14"/>
        <v>0.29531814825696934</v>
      </c>
    </row>
    <row r="476" spans="1:8" x14ac:dyDescent="0.25">
      <c r="A476" t="str">
        <f t="shared" si="15"/>
        <v>Г7668 Ф56</v>
      </c>
      <c r="B476" s="118" t="s">
        <v>560</v>
      </c>
      <c r="C476" s="117">
        <v>56</v>
      </c>
      <c r="D476" s="183">
        <v>12050</v>
      </c>
      <c r="E476" s="119">
        <f>'21'!D33</f>
        <v>599906.97900000005</v>
      </c>
      <c r="F476" s="119">
        <f>'21'!E33</f>
        <v>777046.15</v>
      </c>
      <c r="G476" s="118" t="s">
        <v>540</v>
      </c>
      <c r="H476" s="185">
        <f t="shared" si="14"/>
        <v>0.29527773004954483</v>
      </c>
    </row>
    <row r="477" spans="1:8" x14ac:dyDescent="0.25">
      <c r="A477" t="str">
        <f t="shared" si="15"/>
        <v>Г7668 Ф58,5</v>
      </c>
      <c r="B477" s="118" t="s">
        <v>560</v>
      </c>
      <c r="C477" s="117">
        <v>58.5</v>
      </c>
      <c r="D477" s="183">
        <v>13000</v>
      </c>
      <c r="E477" s="119">
        <f>'21'!D34</f>
        <v>646947.87150000001</v>
      </c>
      <c r="F477" s="119">
        <f>'21'!E34</f>
        <v>837965.15</v>
      </c>
      <c r="G477" s="118" t="s">
        <v>540</v>
      </c>
      <c r="H477" s="185">
        <f t="shared" si="14"/>
        <v>0.29525914979380219</v>
      </c>
    </row>
    <row r="478" spans="1:8" x14ac:dyDescent="0.25">
      <c r="A478" t="str">
        <f t="shared" si="15"/>
        <v>Г7668 Ф60,5</v>
      </c>
      <c r="B478" s="118" t="s">
        <v>560</v>
      </c>
      <c r="C478" s="117">
        <v>60.5</v>
      </c>
      <c r="D478" s="183">
        <v>14250</v>
      </c>
      <c r="E478" s="119">
        <f>'21'!D35</f>
        <v>706466.22900000005</v>
      </c>
      <c r="F478" s="119">
        <f>'21'!E35</f>
        <v>915203.45</v>
      </c>
      <c r="G478" s="118" t="s">
        <v>540</v>
      </c>
      <c r="H478" s="185">
        <f t="shared" si="14"/>
        <v>0.29546666554106427</v>
      </c>
    </row>
    <row r="479" spans="1:8" x14ac:dyDescent="0.25">
      <c r="A479" t="str">
        <f t="shared" si="15"/>
        <v>Г7668 Ф63</v>
      </c>
      <c r="B479" s="118" t="s">
        <v>560</v>
      </c>
      <c r="C479" s="117">
        <v>63</v>
      </c>
      <c r="D479" s="183">
        <v>15200</v>
      </c>
      <c r="E479" s="119">
        <f>'21'!D36</f>
        <v>752809.71150000009</v>
      </c>
      <c r="F479" s="119">
        <f>'21'!E36</f>
        <v>974737.3</v>
      </c>
      <c r="G479" s="118" t="s">
        <v>540</v>
      </c>
      <c r="H479" s="185">
        <f t="shared" si="14"/>
        <v>0.29479905095512304</v>
      </c>
    </row>
    <row r="480" spans="1:8" x14ac:dyDescent="0.25">
      <c r="A480" t="str">
        <f t="shared" si="15"/>
        <v>Г7668 Ф65</v>
      </c>
      <c r="B480" s="118" t="s">
        <v>560</v>
      </c>
      <c r="C480" s="117">
        <v>65</v>
      </c>
      <c r="D480" s="183">
        <v>16100</v>
      </c>
      <c r="E480" s="119">
        <f>'21'!D37</f>
        <v>794040.40799999994</v>
      </c>
      <c r="F480" s="119">
        <f>'21'!E37</f>
        <v>1028419.7</v>
      </c>
      <c r="G480" s="118" t="s">
        <v>540</v>
      </c>
      <c r="H480" s="185">
        <f t="shared" si="14"/>
        <v>0.29517300333662622</v>
      </c>
    </row>
    <row r="481" spans="1:8" x14ac:dyDescent="0.25">
      <c r="A481" t="str">
        <f t="shared" si="15"/>
        <v>Г7668 Ф68</v>
      </c>
      <c r="B481" s="118" t="s">
        <v>560</v>
      </c>
      <c r="C481" s="117">
        <v>68</v>
      </c>
      <c r="D481" s="183">
        <v>17700</v>
      </c>
      <c r="E481" s="119">
        <f>'21'!D38</f>
        <v>866067.804</v>
      </c>
      <c r="F481" s="119">
        <f>'21'!E38</f>
        <v>1121342.1200000001</v>
      </c>
      <c r="G481" s="118" t="s">
        <v>540</v>
      </c>
      <c r="H481" s="185">
        <f t="shared" si="14"/>
        <v>0.2947509592447568</v>
      </c>
    </row>
    <row r="482" spans="1:8" x14ac:dyDescent="0.25">
      <c r="A482" t="str">
        <f t="shared" si="15"/>
        <v>Г7668 Ф72</v>
      </c>
      <c r="B482" s="118" t="s">
        <v>560</v>
      </c>
      <c r="C482" s="117">
        <v>72</v>
      </c>
      <c r="D482" s="183">
        <v>19800</v>
      </c>
      <c r="E482" s="119">
        <f>'21'!D39</f>
        <v>963516.13050000009</v>
      </c>
      <c r="F482" s="119">
        <f>'21'!E39</f>
        <v>1247513.23</v>
      </c>
      <c r="G482" s="118" t="s">
        <v>540</v>
      </c>
      <c r="H482" s="185">
        <f t="shared" si="14"/>
        <v>0.29475074729950235</v>
      </c>
    </row>
    <row r="483" spans="1:8" x14ac:dyDescent="0.25">
      <c r="A483" t="str">
        <f t="shared" si="15"/>
        <v>Г7669 Ф8,6</v>
      </c>
      <c r="B483" s="118" t="s">
        <v>561</v>
      </c>
      <c r="C483" s="117">
        <v>8.6</v>
      </c>
      <c r="D483" s="183">
        <v>328</v>
      </c>
      <c r="E483" s="119">
        <f>'22'!D6</f>
        <v>36526.182000000001</v>
      </c>
      <c r="F483" s="119">
        <f>'22'!E6</f>
        <v>47298.268500000006</v>
      </c>
      <c r="G483" s="118" t="s">
        <v>538</v>
      </c>
      <c r="H483" s="185">
        <f t="shared" si="14"/>
        <v>0.29491411119837285</v>
      </c>
    </row>
    <row r="484" spans="1:8" x14ac:dyDescent="0.25">
      <c r="A484" t="str">
        <f t="shared" si="15"/>
        <v>Г7669 Ф10,5</v>
      </c>
      <c r="B484" s="118" t="s">
        <v>561</v>
      </c>
      <c r="C484" s="117">
        <v>10.5</v>
      </c>
      <c r="D484" s="183">
        <v>482</v>
      </c>
      <c r="E484" s="119">
        <f>'22'!D7</f>
        <v>47530.644</v>
      </c>
      <c r="F484" s="119">
        <f>'22'!E7</f>
        <v>61544.259000000005</v>
      </c>
      <c r="G484" s="118" t="s">
        <v>538</v>
      </c>
      <c r="H484" s="185">
        <f t="shared" si="14"/>
        <v>0.29483326588211178</v>
      </c>
    </row>
    <row r="485" spans="1:8" x14ac:dyDescent="0.25">
      <c r="A485" t="str">
        <f t="shared" si="15"/>
        <v>Г7669 Ф13</v>
      </c>
      <c r="B485" s="118" t="s">
        <v>561</v>
      </c>
      <c r="C485" s="117">
        <v>13</v>
      </c>
      <c r="D485" s="183">
        <v>733</v>
      </c>
      <c r="E485" s="119">
        <f>'22'!D8</f>
        <v>62164.315500000004</v>
      </c>
      <c r="F485" s="119">
        <f>'22'!E8</f>
        <v>80527.177500000005</v>
      </c>
      <c r="G485" s="118" t="s">
        <v>538</v>
      </c>
      <c r="H485" s="185">
        <f t="shared" si="14"/>
        <v>0.29539233002573639</v>
      </c>
    </row>
    <row r="486" spans="1:8" x14ac:dyDescent="0.25">
      <c r="A486" t="str">
        <f t="shared" si="15"/>
        <v>Г7669 Ф14,5</v>
      </c>
      <c r="B486" s="118" t="s">
        <v>561</v>
      </c>
      <c r="C486" s="117">
        <v>14.5</v>
      </c>
      <c r="D486" s="183">
        <v>906</v>
      </c>
      <c r="E486" s="119">
        <f>'22'!D9</f>
        <v>69782.8845</v>
      </c>
      <c r="F486" s="119">
        <f>'22'!E9</f>
        <v>90343.53300000001</v>
      </c>
      <c r="G486" s="118" t="s">
        <v>538</v>
      </c>
      <c r="H486" s="185">
        <f t="shared" si="14"/>
        <v>0.29463741212933114</v>
      </c>
    </row>
    <row r="487" spans="1:8" x14ac:dyDescent="0.25">
      <c r="A487" t="str">
        <f t="shared" si="15"/>
        <v>Г7669 Ф16</v>
      </c>
      <c r="B487" s="118" t="s">
        <v>561</v>
      </c>
      <c r="C487" s="117">
        <v>16</v>
      </c>
      <c r="D487" s="183">
        <v>1145</v>
      </c>
      <c r="E487" s="119">
        <f>'22'!D10</f>
        <v>85234.8</v>
      </c>
      <c r="F487" s="119">
        <f>'22'!E10</f>
        <v>110403.2475</v>
      </c>
      <c r="G487" s="118" t="s">
        <v>538</v>
      </c>
      <c r="H487" s="185">
        <f t="shared" si="14"/>
        <v>0.29528370454321462</v>
      </c>
    </row>
    <row r="488" spans="1:8" x14ac:dyDescent="0.25">
      <c r="A488" t="str">
        <f t="shared" si="15"/>
        <v>Г7669 Ф17,5</v>
      </c>
      <c r="B488" s="118" t="s">
        <v>561</v>
      </c>
      <c r="C488" s="117">
        <v>17.5</v>
      </c>
      <c r="D488" s="183">
        <v>1360</v>
      </c>
      <c r="E488" s="119">
        <f>'22'!D11</f>
        <v>94446.985499999995</v>
      </c>
      <c r="F488" s="119">
        <f>'22'!E11</f>
        <v>122381.217</v>
      </c>
      <c r="G488" s="118" t="s">
        <v>538</v>
      </c>
      <c r="H488" s="185">
        <f t="shared" si="14"/>
        <v>0.29576625820418601</v>
      </c>
    </row>
    <row r="489" spans="1:8" x14ac:dyDescent="0.25">
      <c r="A489" t="str">
        <f t="shared" si="15"/>
        <v>Г7669 Ф19,5</v>
      </c>
      <c r="B489" s="118" t="s">
        <v>561</v>
      </c>
      <c r="C489" s="117">
        <v>19.5</v>
      </c>
      <c r="D489" s="183">
        <v>1630</v>
      </c>
      <c r="E489" s="119">
        <f>'22'!D12</f>
        <v>107069.8545</v>
      </c>
      <c r="F489" s="119">
        <f>'22'!E12</f>
        <v>138702.144</v>
      </c>
      <c r="G489" s="118" t="s">
        <v>538</v>
      </c>
      <c r="H489" s="185">
        <f t="shared" si="14"/>
        <v>0.29543599968187118</v>
      </c>
    </row>
    <row r="490" spans="1:8" x14ac:dyDescent="0.25">
      <c r="A490" t="str">
        <f t="shared" si="15"/>
        <v>Г7669 Ф21</v>
      </c>
      <c r="B490" s="118" t="s">
        <v>561</v>
      </c>
      <c r="C490" s="117">
        <v>21</v>
      </c>
      <c r="D490" s="183">
        <v>1950</v>
      </c>
      <c r="E490" s="119">
        <f>'22'!D13</f>
        <v>124075.875</v>
      </c>
      <c r="F490" s="119">
        <f>'22'!E13</f>
        <v>160747.755</v>
      </c>
      <c r="G490" s="118" t="s">
        <v>538</v>
      </c>
      <c r="H490" s="185">
        <f t="shared" si="14"/>
        <v>0.29556011593712328</v>
      </c>
    </row>
    <row r="491" spans="1:8" x14ac:dyDescent="0.25">
      <c r="A491" t="str">
        <f t="shared" si="15"/>
        <v>Г7669 Ф23</v>
      </c>
      <c r="B491" s="118" t="s">
        <v>561</v>
      </c>
      <c r="C491" s="117">
        <v>23</v>
      </c>
      <c r="D491" s="183">
        <v>2290</v>
      </c>
      <c r="E491" s="119">
        <f>'22'!D14</f>
        <v>142584.9075</v>
      </c>
      <c r="F491" s="119">
        <f>'22'!E14</f>
        <v>184675.83749999999</v>
      </c>
      <c r="G491" s="118" t="s">
        <v>538</v>
      </c>
      <c r="H491" s="185">
        <f t="shared" si="14"/>
        <v>0.29519905534181445</v>
      </c>
    </row>
    <row r="492" spans="1:8" x14ac:dyDescent="0.25">
      <c r="A492" t="str">
        <f t="shared" si="15"/>
        <v>Г7669 Ф25</v>
      </c>
      <c r="B492" s="118" t="s">
        <v>561</v>
      </c>
      <c r="C492" s="117">
        <v>25</v>
      </c>
      <c r="D492" s="183">
        <v>2660</v>
      </c>
      <c r="E492" s="119">
        <f>'22'!D15</f>
        <v>160914.663</v>
      </c>
      <c r="F492" s="119">
        <f>'22'!E15</f>
        <v>208475.19</v>
      </c>
      <c r="G492" s="118" t="s">
        <v>538</v>
      </c>
      <c r="H492" s="185">
        <f t="shared" si="14"/>
        <v>0.29556366159123737</v>
      </c>
    </row>
    <row r="493" spans="1:8" x14ac:dyDescent="0.25">
      <c r="A493" t="str">
        <f t="shared" si="15"/>
        <v>Г7669 Ф26,5</v>
      </c>
      <c r="B493" s="118" t="s">
        <v>561</v>
      </c>
      <c r="C493" s="117">
        <v>26.5</v>
      </c>
      <c r="D493" s="183">
        <v>2975</v>
      </c>
      <c r="E493" s="119">
        <f>'22'!D16</f>
        <v>178801.413</v>
      </c>
      <c r="F493" s="119">
        <f>'22'!E16</f>
        <v>231593.99549999999</v>
      </c>
      <c r="G493" s="118" t="s">
        <v>538</v>
      </c>
      <c r="H493" s="185">
        <f t="shared" si="14"/>
        <v>0.29525819519110841</v>
      </c>
    </row>
    <row r="494" spans="1:8" x14ac:dyDescent="0.25">
      <c r="A494" t="str">
        <f t="shared" si="15"/>
        <v>Г7669 Ф28</v>
      </c>
      <c r="B494" s="118" t="s">
        <v>561</v>
      </c>
      <c r="C494" s="117">
        <v>28</v>
      </c>
      <c r="D494" s="183">
        <v>3395</v>
      </c>
      <c r="E494" s="119">
        <f>'22'!D17</f>
        <v>202538.57400000002</v>
      </c>
      <c r="F494" s="119">
        <f>'22'!E17</f>
        <v>262406.53950000001</v>
      </c>
      <c r="G494" s="118" t="s">
        <v>538</v>
      </c>
      <c r="H494" s="185">
        <f t="shared" si="14"/>
        <v>0.29558796785050934</v>
      </c>
    </row>
    <row r="495" spans="1:8" x14ac:dyDescent="0.25">
      <c r="A495" t="str">
        <f t="shared" si="15"/>
        <v>Г7669 Ф30</v>
      </c>
      <c r="B495" s="118" t="s">
        <v>561</v>
      </c>
      <c r="C495" s="117">
        <v>30</v>
      </c>
      <c r="D495" s="183">
        <v>3890</v>
      </c>
      <c r="E495" s="119">
        <f>'22'!D18</f>
        <v>229720.17600000001</v>
      </c>
      <c r="F495" s="119">
        <f>'22'!E18</f>
        <v>297640.79099999997</v>
      </c>
      <c r="G495" s="118" t="s">
        <v>538</v>
      </c>
      <c r="H495" s="185">
        <f t="shared" si="14"/>
        <v>0.29566673760514606</v>
      </c>
    </row>
    <row r="496" spans="1:8" x14ac:dyDescent="0.25">
      <c r="A496" t="str">
        <f t="shared" si="15"/>
        <v>Г7669 Ф32,5</v>
      </c>
      <c r="B496" s="118" t="s">
        <v>561</v>
      </c>
      <c r="C496" s="117">
        <v>32.5</v>
      </c>
      <c r="D496" s="183">
        <v>4445</v>
      </c>
      <c r="E496" s="119">
        <f>'22'!D19</f>
        <v>257419.36499999999</v>
      </c>
      <c r="F496" s="119">
        <f>'22'!E19</f>
        <v>333437.27549999999</v>
      </c>
      <c r="G496" s="118" t="s">
        <v>538</v>
      </c>
      <c r="H496" s="185">
        <f t="shared" si="14"/>
        <v>0.29530766071153969</v>
      </c>
    </row>
    <row r="497" spans="1:8" x14ac:dyDescent="0.25">
      <c r="A497" t="str">
        <f t="shared" si="15"/>
        <v>Г7669 Ф35,5</v>
      </c>
      <c r="B497" s="118" t="s">
        <v>561</v>
      </c>
      <c r="C497" s="117">
        <v>35.5</v>
      </c>
      <c r="D497" s="183">
        <v>5290</v>
      </c>
      <c r="E497" s="119">
        <f>'22'!D20</f>
        <v>305414.70750000002</v>
      </c>
      <c r="F497" s="119">
        <f>'22'!E20</f>
        <v>395715.23250000004</v>
      </c>
      <c r="G497" s="118" t="s">
        <v>538</v>
      </c>
      <c r="H497" s="185">
        <f t="shared" si="14"/>
        <v>0.29566527997018621</v>
      </c>
    </row>
    <row r="498" spans="1:8" x14ac:dyDescent="0.25">
      <c r="A498" t="str">
        <f t="shared" si="15"/>
        <v>Г7669 Ф36,5</v>
      </c>
      <c r="B498" s="118" t="s">
        <v>561</v>
      </c>
      <c r="C498" s="117">
        <v>36.5</v>
      </c>
      <c r="D498" s="183">
        <v>5895</v>
      </c>
      <c r="E498" s="119">
        <f>'22'!D21</f>
        <v>337121.35800000001</v>
      </c>
      <c r="F498" s="119">
        <f>'22'!E21</f>
        <v>436742.52300000004</v>
      </c>
      <c r="G498" s="118" t="s">
        <v>538</v>
      </c>
      <c r="H498" s="185">
        <f t="shared" si="14"/>
        <v>0.29550535033143777</v>
      </c>
    </row>
    <row r="499" spans="1:8" x14ac:dyDescent="0.25">
      <c r="A499" t="str">
        <f t="shared" si="15"/>
        <v>Г7669 Ф39</v>
      </c>
      <c r="B499" s="118" t="s">
        <v>561</v>
      </c>
      <c r="C499" s="117">
        <v>39</v>
      </c>
      <c r="D499" s="183">
        <v>6530</v>
      </c>
      <c r="E499" s="119">
        <f>'22'!D22</f>
        <v>369742.50599999999</v>
      </c>
      <c r="F499" s="119">
        <f>'22'!E22</f>
        <v>478825.87200000003</v>
      </c>
      <c r="G499" s="118" t="s">
        <v>538</v>
      </c>
      <c r="H499" s="185">
        <f t="shared" si="14"/>
        <v>0.2950252249331593</v>
      </c>
    </row>
    <row r="500" spans="1:8" x14ac:dyDescent="0.25">
      <c r="A500" t="str">
        <f t="shared" si="15"/>
        <v>Г7669 Ф41</v>
      </c>
      <c r="B500" s="118" t="s">
        <v>561</v>
      </c>
      <c r="C500" s="117">
        <v>41</v>
      </c>
      <c r="D500" s="183">
        <v>7265</v>
      </c>
      <c r="E500" s="119">
        <f>'22'!D23</f>
        <v>411021.94349999999</v>
      </c>
      <c r="F500" s="119">
        <f>'22'!E23</f>
        <v>532169.25300000003</v>
      </c>
      <c r="G500" s="118" t="s">
        <v>538</v>
      </c>
      <c r="H500" s="185">
        <f t="shared" si="14"/>
        <v>0.29474657354881595</v>
      </c>
    </row>
    <row r="501" spans="1:8" x14ac:dyDescent="0.25">
      <c r="A501" t="str">
        <f t="shared" si="15"/>
        <v>Г7669 Ф42</v>
      </c>
      <c r="B501" s="118" t="s">
        <v>561</v>
      </c>
      <c r="C501" s="117">
        <v>42</v>
      </c>
      <c r="D501" s="183">
        <v>7965</v>
      </c>
      <c r="E501" s="119">
        <f>'22'!D24</f>
        <v>447452.92200000002</v>
      </c>
      <c r="F501" s="119">
        <f>'22'!E24</f>
        <v>579658.73699999996</v>
      </c>
      <c r="G501" s="118" t="s">
        <v>538</v>
      </c>
      <c r="H501" s="185">
        <f t="shared" si="14"/>
        <v>0.29546307220226375</v>
      </c>
    </row>
    <row r="502" spans="1:8" x14ac:dyDescent="0.25">
      <c r="A502" t="str">
        <f t="shared" si="15"/>
        <v>Г7669 Ф45,5</v>
      </c>
      <c r="B502" s="118" t="s">
        <v>561</v>
      </c>
      <c r="C502" s="117">
        <v>45.5</v>
      </c>
      <c r="D502" s="183">
        <v>9045</v>
      </c>
      <c r="E502" s="119">
        <f>'22'!D25</f>
        <v>500302.005</v>
      </c>
      <c r="F502" s="119">
        <f>'22'!E25</f>
        <v>648186.75600000005</v>
      </c>
      <c r="G502" s="118" t="s">
        <v>538</v>
      </c>
      <c r="H502" s="185">
        <f t="shared" si="14"/>
        <v>0.29559096210298019</v>
      </c>
    </row>
    <row r="503" spans="1:8" x14ac:dyDescent="0.25">
      <c r="A503" t="str">
        <f t="shared" si="15"/>
        <v>Г7669 Ф49</v>
      </c>
      <c r="B503" s="118" t="s">
        <v>561</v>
      </c>
      <c r="C503" s="117">
        <v>49</v>
      </c>
      <c r="D503" s="183">
        <v>10600</v>
      </c>
      <c r="E503" s="119">
        <f>'22'!D26</f>
        <v>582228.05550000002</v>
      </c>
      <c r="F503" s="119">
        <f>'22'!E26</f>
        <v>754257.08400000003</v>
      </c>
      <c r="G503" s="118" t="s">
        <v>538</v>
      </c>
      <c r="H503" s="185">
        <f t="shared" si="14"/>
        <v>0.29546674516099469</v>
      </c>
    </row>
    <row r="504" spans="1:8" x14ac:dyDescent="0.25">
      <c r="A504" t="str">
        <f t="shared" si="15"/>
        <v>Г7669 Ф52</v>
      </c>
      <c r="B504" s="118" t="s">
        <v>561</v>
      </c>
      <c r="C504" s="117">
        <v>52</v>
      </c>
      <c r="D504" s="183">
        <v>11850</v>
      </c>
      <c r="E504" s="119">
        <f>'22'!D27</f>
        <v>646165.86300000013</v>
      </c>
      <c r="F504" s="119">
        <f>'22'!E27</f>
        <v>836964.12450000003</v>
      </c>
      <c r="G504" s="118" t="s">
        <v>538</v>
      </c>
      <c r="H504" s="185">
        <f t="shared" si="14"/>
        <v>0.29527753232609233</v>
      </c>
    </row>
    <row r="505" spans="1:8" x14ac:dyDescent="0.25">
      <c r="A505" t="str">
        <f t="shared" si="15"/>
        <v>Г7669 Ф57</v>
      </c>
      <c r="B505" s="118" t="s">
        <v>561</v>
      </c>
      <c r="C505" s="117">
        <v>57</v>
      </c>
      <c r="D505" s="183">
        <v>13900</v>
      </c>
      <c r="E505" s="119">
        <f>'22'!D28</f>
        <v>752535.42</v>
      </c>
      <c r="F505" s="119">
        <f>'22'!E28</f>
        <v>974858.28300000005</v>
      </c>
      <c r="G505" s="118" t="s">
        <v>538</v>
      </c>
      <c r="H505" s="185">
        <f t="shared" si="14"/>
        <v>0.29543175921207809</v>
      </c>
    </row>
    <row r="506" spans="1:8" x14ac:dyDescent="0.25">
      <c r="A506" t="str">
        <f t="shared" si="15"/>
        <v>Г7669 Ф60,5</v>
      </c>
      <c r="B506" s="118" t="s">
        <v>561</v>
      </c>
      <c r="C506" s="117">
        <v>60.5</v>
      </c>
      <c r="D506" s="183">
        <v>15240</v>
      </c>
      <c r="E506" s="119">
        <f>'22'!D29</f>
        <v>822561.42149999994</v>
      </c>
      <c r="F506" s="119">
        <f>'22'!E29</f>
        <v>1065127.602</v>
      </c>
      <c r="G506" s="118" t="s">
        <v>538</v>
      </c>
      <c r="H506" s="185">
        <f t="shared" si="14"/>
        <v>0.29489126788570164</v>
      </c>
    </row>
    <row r="507" spans="1:8" x14ac:dyDescent="0.25">
      <c r="A507" t="str">
        <f t="shared" si="15"/>
        <v>Г7669 Ф61,5</v>
      </c>
      <c r="B507" s="118" t="s">
        <v>561</v>
      </c>
      <c r="C507" s="117">
        <v>61.5</v>
      </c>
      <c r="D507" s="183">
        <v>16250</v>
      </c>
      <c r="E507" s="119">
        <f>'22'!D30</f>
        <v>875319.57449999999</v>
      </c>
      <c r="F507" s="119">
        <f>'22'!E30</f>
        <v>1133961.0974999999</v>
      </c>
      <c r="G507" s="118" t="s">
        <v>538</v>
      </c>
      <c r="H507" s="185">
        <f t="shared" si="14"/>
        <v>0.29548239355636619</v>
      </c>
    </row>
    <row r="508" spans="1:8" x14ac:dyDescent="0.25">
      <c r="A508" t="str">
        <f t="shared" si="15"/>
        <v>Г7669 Ф64</v>
      </c>
      <c r="B508" s="118" t="s">
        <v>561</v>
      </c>
      <c r="C508" s="117">
        <v>64</v>
      </c>
      <c r="D508" s="183">
        <v>17148</v>
      </c>
      <c r="E508" s="119">
        <f>'22'!D31</f>
        <v>921706.31700000004</v>
      </c>
      <c r="F508" s="119">
        <f>'22'!E31</f>
        <v>1193640.3885000001</v>
      </c>
      <c r="G508" s="118" t="s">
        <v>538</v>
      </c>
      <c r="H508" s="185">
        <f t="shared" si="14"/>
        <v>0.29503331645279385</v>
      </c>
    </row>
    <row r="509" spans="1:8" x14ac:dyDescent="0.25">
      <c r="A509" t="str">
        <f t="shared" si="15"/>
        <v>Г7669 Ф68</v>
      </c>
      <c r="B509" s="118" t="s">
        <v>561</v>
      </c>
      <c r="C509" s="117">
        <v>68</v>
      </c>
      <c r="D509" s="183">
        <v>18775</v>
      </c>
      <c r="E509" s="119">
        <f>'22'!D32</f>
        <v>929395.63500000001</v>
      </c>
      <c r="F509" s="119">
        <f>'22'!E32</f>
        <v>1203563.0250000001</v>
      </c>
      <c r="G509" s="118" t="s">
        <v>538</v>
      </c>
      <c r="H509" s="185">
        <f t="shared" si="14"/>
        <v>0.29499534931644056</v>
      </c>
    </row>
    <row r="510" spans="1:8" x14ac:dyDescent="0.25">
      <c r="A510" t="str">
        <f t="shared" si="15"/>
        <v>Г7669 Ф72</v>
      </c>
      <c r="B510" s="118" t="s">
        <v>561</v>
      </c>
      <c r="C510" s="117">
        <v>72</v>
      </c>
      <c r="D510" s="183">
        <v>21125</v>
      </c>
      <c r="E510" s="119">
        <f>'22'!D33</f>
        <v>1020389.7165</v>
      </c>
      <c r="F510" s="119">
        <f>'22'!E33</f>
        <v>1321685.7150000001</v>
      </c>
      <c r="G510" s="118" t="s">
        <v>538</v>
      </c>
      <c r="H510" s="185">
        <f t="shared" si="14"/>
        <v>0.2952754164687823</v>
      </c>
    </row>
    <row r="511" spans="1:8" x14ac:dyDescent="0.25">
      <c r="A511" t="str">
        <f>CONCATENATE(B511," Ф",C511," ",G511)</f>
        <v>ТУ091 Ф39 и1</v>
      </c>
      <c r="B511" s="118" t="s">
        <v>740</v>
      </c>
      <c r="C511" s="117">
        <v>39</v>
      </c>
      <c r="D511" s="183">
        <v>6720</v>
      </c>
      <c r="E511" s="119">
        <f>'22'!D42</f>
        <v>414464.32650000002</v>
      </c>
      <c r="F511" s="119">
        <f>'22'!E42</f>
        <v>536829.99300000002</v>
      </c>
      <c r="G511" s="118" t="s">
        <v>738</v>
      </c>
      <c r="H511" s="185">
        <f t="shared" si="14"/>
        <v>0.29523811502266883</v>
      </c>
    </row>
    <row r="512" spans="1:8" x14ac:dyDescent="0.25">
      <c r="A512" t="str">
        <f t="shared" ref="A512:A520" si="16">CONCATENATE(B512," Ф",C512," ",G512)</f>
        <v>ТУ091 Ф45,5 и1</v>
      </c>
      <c r="B512" s="118" t="s">
        <v>740</v>
      </c>
      <c r="C512" s="117">
        <v>45.5</v>
      </c>
      <c r="D512" s="183">
        <v>9270</v>
      </c>
      <c r="E512" s="119">
        <f>'22'!D43</f>
        <v>560814.40799999994</v>
      </c>
      <c r="F512" s="119">
        <f>'22'!E43</f>
        <v>726388.18350000004</v>
      </c>
      <c r="G512" s="118" t="s">
        <v>738</v>
      </c>
      <c r="H512" s="185">
        <f t="shared" si="14"/>
        <v>0.29523809149354108</v>
      </c>
    </row>
    <row r="513" spans="1:8" x14ac:dyDescent="0.25">
      <c r="A513" t="str">
        <f t="shared" si="16"/>
        <v>ТУ091 Ф52 и1</v>
      </c>
      <c r="B513" s="118" t="s">
        <v>740</v>
      </c>
      <c r="C513" s="117">
        <v>52</v>
      </c>
      <c r="D513" s="183">
        <v>12290</v>
      </c>
      <c r="E513" s="119">
        <f>'22'!D44</f>
        <v>724321.17449999996</v>
      </c>
      <c r="F513" s="119">
        <f>'22'!E44</f>
        <v>938168.37450000003</v>
      </c>
      <c r="G513" s="118" t="s">
        <v>738</v>
      </c>
      <c r="H513" s="185">
        <f t="shared" si="14"/>
        <v>0.29523808985374367</v>
      </c>
    </row>
    <row r="514" spans="1:8" x14ac:dyDescent="0.25">
      <c r="A514" t="str">
        <f t="shared" si="16"/>
        <v>ТУ091 Ф57 и1</v>
      </c>
      <c r="B514" s="118" t="s">
        <v>740</v>
      </c>
      <c r="C514" s="117">
        <v>57</v>
      </c>
      <c r="D514" s="183">
        <v>14390</v>
      </c>
      <c r="E514" s="119">
        <f>'22'!D45</f>
        <v>843556.39200000011</v>
      </c>
      <c r="F514" s="119">
        <f>'22'!E45</f>
        <v>1092606.3645000001</v>
      </c>
      <c r="G514" s="118" t="s">
        <v>738</v>
      </c>
      <c r="H514" s="185">
        <f t="shared" si="14"/>
        <v>0.29523808350206893</v>
      </c>
    </row>
    <row r="515" spans="1:8" x14ac:dyDescent="0.25">
      <c r="A515" t="str">
        <f t="shared" si="16"/>
        <v>ТУ091 Ф64 и1</v>
      </c>
      <c r="B515" s="118" t="s">
        <v>740</v>
      </c>
      <c r="C515" s="117">
        <v>64</v>
      </c>
      <c r="D515" s="183">
        <v>18220</v>
      </c>
      <c r="E515" s="119">
        <f>'22'!D46</f>
        <v>1032311.0910000001</v>
      </c>
      <c r="F515" s="119">
        <f>'22'!E46</f>
        <v>1337088.648</v>
      </c>
      <c r="G515" s="118" t="s">
        <v>738</v>
      </c>
      <c r="H515" s="185">
        <f t="shared" si="14"/>
        <v>0.29523809213825425</v>
      </c>
    </row>
    <row r="516" spans="1:8" x14ac:dyDescent="0.25">
      <c r="A516" t="str">
        <f t="shared" si="16"/>
        <v>ТУ091 Ф39 и2</v>
      </c>
      <c r="B516" s="118" t="s">
        <v>740</v>
      </c>
      <c r="C516" s="117">
        <v>39</v>
      </c>
      <c r="D516" s="183">
        <v>6800</v>
      </c>
      <c r="E516" s="119">
        <f>'22'!D48</f>
        <v>436296.13650000002</v>
      </c>
      <c r="F516" s="119">
        <f>'22'!E48</f>
        <v>565107.38550000009</v>
      </c>
      <c r="G516" s="118" t="s">
        <v>739</v>
      </c>
      <c r="H516" s="185">
        <f t="shared" si="14"/>
        <v>0.29523811517868004</v>
      </c>
    </row>
    <row r="517" spans="1:8" x14ac:dyDescent="0.25">
      <c r="A517" t="str">
        <f t="shared" si="16"/>
        <v>ТУ091 Ф45,5 и2</v>
      </c>
      <c r="B517" s="118" t="s">
        <v>740</v>
      </c>
      <c r="C517" s="117">
        <v>45.5</v>
      </c>
      <c r="D517" s="183">
        <v>9380</v>
      </c>
      <c r="E517" s="119">
        <f>'22'!D49</f>
        <v>590356.36800000002</v>
      </c>
      <c r="F517" s="119">
        <f>'22'!E49</f>
        <v>764652.06300000008</v>
      </c>
      <c r="G517" s="118" t="s">
        <v>739</v>
      </c>
      <c r="H517" s="185">
        <f t="shared" si="14"/>
        <v>0.29523810438511289</v>
      </c>
    </row>
    <row r="518" spans="1:8" x14ac:dyDescent="0.25">
      <c r="A518" t="str">
        <f t="shared" si="16"/>
        <v>ТУ091 Ф52 и2</v>
      </c>
      <c r="B518" s="118" t="s">
        <v>740</v>
      </c>
      <c r="C518" s="117">
        <v>52</v>
      </c>
      <c r="D518" s="183">
        <v>12440</v>
      </c>
      <c r="E518" s="119">
        <f>'22'!D50</f>
        <v>762475.728</v>
      </c>
      <c r="F518" s="119">
        <f>'22'!E50</f>
        <v>987587.60100000002</v>
      </c>
      <c r="G518" s="118" t="s">
        <v>739</v>
      </c>
      <c r="H518" s="185">
        <f t="shared" si="14"/>
        <v>0.2952380839590476</v>
      </c>
    </row>
    <row r="519" spans="1:8" x14ac:dyDescent="0.25">
      <c r="A519" t="str">
        <f t="shared" si="16"/>
        <v>ТУ091 Ф57 и2</v>
      </c>
      <c r="B519" s="118" t="s">
        <v>740</v>
      </c>
      <c r="C519" s="117">
        <v>57</v>
      </c>
      <c r="D519" s="183">
        <v>14560</v>
      </c>
      <c r="E519" s="119">
        <f>'22'!D51</f>
        <v>887991.804</v>
      </c>
      <c r="F519" s="119">
        <f>'22'!E51</f>
        <v>1150160.8020000001</v>
      </c>
      <c r="G519" s="118" t="s">
        <v>739</v>
      </c>
      <c r="H519" s="185">
        <f>IF(OR(E519=0,F519=0),0,F519/E519-1)</f>
        <v>0.295238083075821</v>
      </c>
    </row>
    <row r="520" spans="1:8" x14ac:dyDescent="0.25">
      <c r="A520" t="str">
        <f t="shared" si="16"/>
        <v>ТУ091 Ф64 и2</v>
      </c>
      <c r="B520" s="118" t="s">
        <v>740</v>
      </c>
      <c r="C520" s="117">
        <v>64</v>
      </c>
      <c r="D520" s="183">
        <v>18430</v>
      </c>
      <c r="E520" s="119">
        <f>'22'!D52</f>
        <v>1087613.4569999999</v>
      </c>
      <c r="F520" s="119">
        <f>'22'!E52</f>
        <v>1408718.3775000002</v>
      </c>
      <c r="G520" s="118" t="s">
        <v>739</v>
      </c>
      <c r="H520" s="185">
        <f t="shared" si="14"/>
        <v>0.29523809073281848</v>
      </c>
    </row>
    <row r="521" spans="1:8" x14ac:dyDescent="0.25">
      <c r="A521" t="str">
        <f t="shared" si="15"/>
        <v>ТУ090 Ф39</v>
      </c>
      <c r="B521" s="118" t="s">
        <v>741</v>
      </c>
      <c r="C521" s="117">
        <v>39</v>
      </c>
      <c r="D521" s="183">
        <v>6720</v>
      </c>
      <c r="E521" s="119">
        <f>'22'!D62</f>
        <v>414464.32650000002</v>
      </c>
      <c r="F521" s="119">
        <f>'22'!E62</f>
        <v>536829.99300000002</v>
      </c>
      <c r="G521" s="118" t="s">
        <v>538</v>
      </c>
      <c r="H521" s="185">
        <f t="shared" si="14"/>
        <v>0.29523811502266883</v>
      </c>
    </row>
    <row r="522" spans="1:8" x14ac:dyDescent="0.25">
      <c r="A522" t="str">
        <f t="shared" si="15"/>
        <v>ТУ090 Ф45,5</v>
      </c>
      <c r="B522" s="118" t="s">
        <v>741</v>
      </c>
      <c r="C522" s="117">
        <v>45.5</v>
      </c>
      <c r="D522" s="183">
        <v>9270</v>
      </c>
      <c r="E522" s="119">
        <f>'22'!D63</f>
        <v>560814.40799999994</v>
      </c>
      <c r="F522" s="119">
        <f>'22'!E63</f>
        <v>726388.18350000004</v>
      </c>
      <c r="G522" s="118" t="s">
        <v>538</v>
      </c>
      <c r="H522" s="185">
        <f t="shared" si="14"/>
        <v>0.29523809149354108</v>
      </c>
    </row>
    <row r="523" spans="1:8" x14ac:dyDescent="0.25">
      <c r="A523" t="str">
        <f t="shared" si="15"/>
        <v>ТУ090 Ф52</v>
      </c>
      <c r="B523" s="118" t="s">
        <v>741</v>
      </c>
      <c r="C523" s="117">
        <v>52</v>
      </c>
      <c r="D523" s="183">
        <v>12290</v>
      </c>
      <c r="E523" s="119">
        <f>'22'!D64</f>
        <v>724321.17449999996</v>
      </c>
      <c r="F523" s="119">
        <f>'22'!E64</f>
        <v>938168.37450000003</v>
      </c>
      <c r="G523" s="118" t="s">
        <v>538</v>
      </c>
      <c r="H523" s="185">
        <f t="shared" si="14"/>
        <v>0.29523808985374367</v>
      </c>
    </row>
    <row r="524" spans="1:8" x14ac:dyDescent="0.25">
      <c r="A524" t="str">
        <f t="shared" si="15"/>
        <v>ТУ090 Ф57</v>
      </c>
      <c r="B524" s="118" t="s">
        <v>741</v>
      </c>
      <c r="C524" s="117">
        <v>57</v>
      </c>
      <c r="D524" s="183">
        <v>14390</v>
      </c>
      <c r="E524" s="119">
        <f>'22'!D65</f>
        <v>843556.39200000011</v>
      </c>
      <c r="F524" s="119">
        <f>'22'!E65</f>
        <v>1092606.3645000001</v>
      </c>
      <c r="G524" s="118" t="s">
        <v>538</v>
      </c>
      <c r="H524" s="185">
        <f t="shared" si="14"/>
        <v>0.29523808350206893</v>
      </c>
    </row>
    <row r="525" spans="1:8" x14ac:dyDescent="0.25">
      <c r="A525" t="str">
        <f t="shared" si="15"/>
        <v>Г14954 Ф5,1</v>
      </c>
      <c r="B525" s="118" t="s">
        <v>562</v>
      </c>
      <c r="C525" s="117">
        <v>5.0999999999999996</v>
      </c>
      <c r="D525" s="183">
        <v>104</v>
      </c>
      <c r="E525" s="119">
        <f>'23'!D6</f>
        <v>15905.389500000001</v>
      </c>
      <c r="F525" s="119">
        <f>'23'!E6</f>
        <v>20621.496000000003</v>
      </c>
      <c r="G525" s="118" t="s">
        <v>538</v>
      </c>
      <c r="H525" s="185">
        <f t="shared" ref="H525:H585" si="17">IF(OR(E525=0,F525=0),0,F525/E525-1)</f>
        <v>0.29650996600869162</v>
      </c>
    </row>
    <row r="526" spans="1:8" x14ac:dyDescent="0.25">
      <c r="A526" t="str">
        <f t="shared" si="15"/>
        <v>Г14954 Ф5,5</v>
      </c>
      <c r="B526" s="118" t="s">
        <v>562</v>
      </c>
      <c r="C526" s="117">
        <v>5.5</v>
      </c>
      <c r="D526" s="183">
        <v>127</v>
      </c>
      <c r="E526" s="119">
        <f>'23'!D7</f>
        <v>16748.151000000002</v>
      </c>
      <c r="F526" s="119">
        <f>'23'!E7</f>
        <v>21721.035000000003</v>
      </c>
      <c r="G526" s="118" t="s">
        <v>538</v>
      </c>
      <c r="H526" s="185">
        <f t="shared" si="17"/>
        <v>0.29692137358923998</v>
      </c>
    </row>
    <row r="527" spans="1:8" x14ac:dyDescent="0.25">
      <c r="A527" t="str">
        <f t="shared" si="15"/>
        <v>Г14954 Ф6,7</v>
      </c>
      <c r="B527" s="118" t="s">
        <v>562</v>
      </c>
      <c r="C527" s="117">
        <v>6.7</v>
      </c>
      <c r="D527" s="183">
        <v>190</v>
      </c>
      <c r="E527" s="119">
        <f>'23'!D8</f>
        <v>20091.771000000001</v>
      </c>
      <c r="F527" s="119">
        <f>'23'!E8</f>
        <v>26063.0265</v>
      </c>
      <c r="G527" s="118" t="s">
        <v>538</v>
      </c>
      <c r="H527" s="185">
        <f t="shared" si="17"/>
        <v>0.29719906224294501</v>
      </c>
    </row>
    <row r="528" spans="1:8" x14ac:dyDescent="0.25">
      <c r="A528" t="str">
        <f t="shared" si="15"/>
        <v>Г14954 Ф8</v>
      </c>
      <c r="B528" s="118" t="s">
        <v>562</v>
      </c>
      <c r="C528" s="117">
        <v>8</v>
      </c>
      <c r="D528" s="183">
        <v>272.5</v>
      </c>
      <c r="E528" s="119">
        <f>'23'!D9</f>
        <v>22913.982</v>
      </c>
      <c r="F528" s="119">
        <f>'23'!E9</f>
        <v>29711.083500000001</v>
      </c>
      <c r="G528" s="118" t="s">
        <v>538</v>
      </c>
      <c r="H528" s="185">
        <f t="shared" si="17"/>
        <v>0.2966355433115031</v>
      </c>
    </row>
    <row r="529" spans="1:8" x14ac:dyDescent="0.25">
      <c r="A529" t="str">
        <f t="shared" si="15"/>
        <v>Г14954 Ф8,8</v>
      </c>
      <c r="B529" s="118" t="s">
        <v>562</v>
      </c>
      <c r="C529" s="117">
        <v>8.8000000000000007</v>
      </c>
      <c r="D529" s="183">
        <v>327.5</v>
      </c>
      <c r="E529" s="119">
        <f>'23'!D10</f>
        <v>28539.567000000003</v>
      </c>
      <c r="F529" s="119">
        <f>'23'!E10</f>
        <v>37000.792500000003</v>
      </c>
      <c r="G529" s="118" t="s">
        <v>538</v>
      </c>
      <c r="H529" s="185">
        <f t="shared" si="17"/>
        <v>0.29647350641304393</v>
      </c>
    </row>
    <row r="530" spans="1:8" x14ac:dyDescent="0.25">
      <c r="A530" t="str">
        <f t="shared" ref="A530:A590" si="18">CONCATENATE(B530," Ф",C530)</f>
        <v>Г14954 Ф9,7</v>
      </c>
      <c r="B530" s="118" t="s">
        <v>562</v>
      </c>
      <c r="C530" s="117">
        <v>9.6999999999999993</v>
      </c>
      <c r="D530" s="183">
        <v>388</v>
      </c>
      <c r="E530" s="119">
        <f>'23'!D11</f>
        <v>31166.404500000001</v>
      </c>
      <c r="F530" s="119">
        <f>'23'!E11</f>
        <v>40440.172500000001</v>
      </c>
      <c r="G530" s="118" t="s">
        <v>538</v>
      </c>
      <c r="H530" s="185">
        <f t="shared" si="17"/>
        <v>0.29755655645167534</v>
      </c>
    </row>
    <row r="531" spans="1:8" x14ac:dyDescent="0.25">
      <c r="A531" t="str">
        <f t="shared" si="18"/>
        <v>Г14954 Ф11</v>
      </c>
      <c r="B531" s="118" t="s">
        <v>562</v>
      </c>
      <c r="C531" s="117">
        <v>11</v>
      </c>
      <c r="D531" s="183">
        <v>491.5</v>
      </c>
      <c r="E531" s="119">
        <f>'23'!D12</f>
        <v>35575.123500000002</v>
      </c>
      <c r="F531" s="119">
        <f>'23'!E12</f>
        <v>46154.787000000004</v>
      </c>
      <c r="G531" s="118" t="s">
        <v>538</v>
      </c>
      <c r="H531" s="185">
        <f t="shared" si="17"/>
        <v>0.29738936816340211</v>
      </c>
    </row>
    <row r="532" spans="1:8" x14ac:dyDescent="0.25">
      <c r="A532" t="str">
        <f t="shared" si="18"/>
        <v>Г14954 Ф12</v>
      </c>
      <c r="B532" s="118" t="s">
        <v>562</v>
      </c>
      <c r="C532" s="117">
        <v>12</v>
      </c>
      <c r="D532" s="183">
        <v>568</v>
      </c>
      <c r="E532" s="119">
        <f>'23'!D13</f>
        <v>40412.337000000007</v>
      </c>
      <c r="F532" s="119">
        <f>'23'!E13</f>
        <v>52437.084000000003</v>
      </c>
      <c r="G532" s="118" t="s">
        <v>538</v>
      </c>
      <c r="H532" s="185">
        <f t="shared" si="17"/>
        <v>0.29755138882465504</v>
      </c>
    </row>
    <row r="533" spans="1:8" x14ac:dyDescent="0.25">
      <c r="A533" t="str">
        <f t="shared" si="18"/>
        <v>Г14954 Ф12,5</v>
      </c>
      <c r="B533" s="118" t="s">
        <v>562</v>
      </c>
      <c r="C533" s="117">
        <v>12.5</v>
      </c>
      <c r="D533" s="183">
        <v>650.5</v>
      </c>
      <c r="E533" s="119">
        <f>'23'!D14</f>
        <v>42562.5795</v>
      </c>
      <c r="F533" s="119">
        <f>'23'!E14</f>
        <v>55216.465500000006</v>
      </c>
      <c r="G533" s="118" t="s">
        <v>538</v>
      </c>
      <c r="H533" s="185">
        <f t="shared" si="17"/>
        <v>0.29730073103299581</v>
      </c>
    </row>
    <row r="534" spans="1:8" x14ac:dyDescent="0.25">
      <c r="A534" t="str">
        <f t="shared" si="18"/>
        <v>Г14954 Ф14</v>
      </c>
      <c r="B534" s="118" t="s">
        <v>562</v>
      </c>
      <c r="C534" s="117">
        <v>14</v>
      </c>
      <c r="D534" s="183">
        <v>792</v>
      </c>
      <c r="E534" s="119">
        <f>'23'!D15</f>
        <v>48004.362000000001</v>
      </c>
      <c r="F534" s="119">
        <f>'23'!E15</f>
        <v>62256.558000000005</v>
      </c>
      <c r="G534" s="118" t="s">
        <v>538</v>
      </c>
      <c r="H534" s="185">
        <f t="shared" si="17"/>
        <v>0.29689376977867132</v>
      </c>
    </row>
    <row r="535" spans="1:8" x14ac:dyDescent="0.25">
      <c r="A535" t="str">
        <f t="shared" si="18"/>
        <v>Г14954 Ф15</v>
      </c>
      <c r="B535" s="118" t="s">
        <v>562</v>
      </c>
      <c r="C535" s="117">
        <v>15</v>
      </c>
      <c r="D535" s="183">
        <v>921.5</v>
      </c>
      <c r="E535" s="119">
        <f>'23'!D16</f>
        <v>53242.906500000005</v>
      </c>
      <c r="F535" s="119">
        <f>'23'!E16</f>
        <v>69019.944000000003</v>
      </c>
      <c r="G535" s="118" t="s">
        <v>538</v>
      </c>
      <c r="H535" s="185">
        <f t="shared" si="17"/>
        <v>0.29632186777782299</v>
      </c>
    </row>
    <row r="536" spans="1:8" x14ac:dyDescent="0.25">
      <c r="A536" t="str">
        <f t="shared" si="18"/>
        <v>Г14954 Ф16,5</v>
      </c>
      <c r="B536" s="118" t="s">
        <v>562</v>
      </c>
      <c r="C536" s="117">
        <v>16.5</v>
      </c>
      <c r="D536" s="183">
        <v>1115</v>
      </c>
      <c r="E536" s="119">
        <f>'23'!D17</f>
        <v>63030.995999999999</v>
      </c>
      <c r="F536" s="119">
        <f>'23'!E17</f>
        <v>81704.605500000005</v>
      </c>
      <c r="G536" s="118" t="s">
        <v>538</v>
      </c>
      <c r="H536" s="185">
        <f t="shared" si="17"/>
        <v>0.29626073971605971</v>
      </c>
    </row>
    <row r="537" spans="1:8" x14ac:dyDescent="0.25">
      <c r="A537" t="str">
        <f t="shared" si="18"/>
        <v>Г14954 Ф18</v>
      </c>
      <c r="B537" s="118" t="s">
        <v>562</v>
      </c>
      <c r="C537" s="117">
        <v>18</v>
      </c>
      <c r="D537" s="183">
        <v>1320</v>
      </c>
      <c r="E537" s="119">
        <f>'23'!D18</f>
        <v>73774.743000000002</v>
      </c>
      <c r="F537" s="119">
        <f>'23'!E18</f>
        <v>95617.252500000002</v>
      </c>
      <c r="G537" s="118" t="s">
        <v>538</v>
      </c>
      <c r="H537" s="185">
        <f t="shared" si="17"/>
        <v>0.29607028925875079</v>
      </c>
    </row>
    <row r="538" spans="1:8" x14ac:dyDescent="0.25">
      <c r="A538" t="str">
        <f t="shared" si="18"/>
        <v>Г14954 Ф19</v>
      </c>
      <c r="B538" s="118" t="s">
        <v>562</v>
      </c>
      <c r="C538" s="117">
        <v>19</v>
      </c>
      <c r="D538" s="183">
        <v>1520</v>
      </c>
      <c r="E538" s="119">
        <f>'23'!D19</f>
        <v>84563.157000000007</v>
      </c>
      <c r="F538" s="119">
        <f>'23'!E19</f>
        <v>109619.72700000001</v>
      </c>
      <c r="G538" s="118" t="s">
        <v>538</v>
      </c>
      <c r="H538" s="185">
        <f t="shared" si="17"/>
        <v>0.29630599056276963</v>
      </c>
    </row>
    <row r="539" spans="1:8" x14ac:dyDescent="0.25">
      <c r="A539" t="str">
        <f t="shared" si="18"/>
        <v>Г14954 Ф20,5</v>
      </c>
      <c r="B539" s="118" t="s">
        <v>562</v>
      </c>
      <c r="C539" s="117">
        <v>20.5</v>
      </c>
      <c r="D539" s="183">
        <v>1765</v>
      </c>
      <c r="E539" s="119">
        <f>'23'!D20</f>
        <v>97754.002500000002</v>
      </c>
      <c r="F539" s="119">
        <f>'23'!E20</f>
        <v>126682.395</v>
      </c>
      <c r="G539" s="118" t="s">
        <v>538</v>
      </c>
      <c r="H539" s="185">
        <f t="shared" si="17"/>
        <v>0.29593051701386863</v>
      </c>
    </row>
    <row r="540" spans="1:8" x14ac:dyDescent="0.25">
      <c r="A540" t="str">
        <f t="shared" si="18"/>
        <v>Г14954 Ф22</v>
      </c>
      <c r="B540" s="118" t="s">
        <v>562</v>
      </c>
      <c r="C540" s="117">
        <v>22</v>
      </c>
      <c r="D540" s="183">
        <v>1990</v>
      </c>
      <c r="E540" s="119">
        <f>'23'!D21</f>
        <v>103151.02350000001</v>
      </c>
      <c r="F540" s="119">
        <f>'23'!E21</f>
        <v>133735.245</v>
      </c>
      <c r="G540" s="118" t="s">
        <v>538</v>
      </c>
      <c r="H540" s="185">
        <f t="shared" si="17"/>
        <v>0.29649944772482062</v>
      </c>
    </row>
    <row r="541" spans="1:8" x14ac:dyDescent="0.25">
      <c r="A541" t="str">
        <f t="shared" si="18"/>
        <v>Г14954 Ф23</v>
      </c>
      <c r="B541" s="118" t="s">
        <v>562</v>
      </c>
      <c r="C541" s="117">
        <v>23</v>
      </c>
      <c r="D541" s="183">
        <v>2265</v>
      </c>
      <c r="E541" s="119">
        <f>'23'!D22</f>
        <v>116748.5025</v>
      </c>
      <c r="F541" s="119">
        <f>'23'!E22</f>
        <v>151405.28550000003</v>
      </c>
      <c r="G541" s="118" t="s">
        <v>538</v>
      </c>
      <c r="H541" s="185">
        <f t="shared" si="17"/>
        <v>0.29684991462738486</v>
      </c>
    </row>
    <row r="542" spans="1:8" x14ac:dyDescent="0.25">
      <c r="A542" t="str">
        <f t="shared" si="18"/>
        <v>Г14954 Ф25</v>
      </c>
      <c r="B542" s="118" t="s">
        <v>562</v>
      </c>
      <c r="C542" s="117">
        <v>25</v>
      </c>
      <c r="D542" s="183">
        <v>2560</v>
      </c>
      <c r="E542" s="119">
        <f>'23'!D23</f>
        <v>129208.1805</v>
      </c>
      <c r="F542" s="119">
        <f>'23'!E23</f>
        <v>167459.34450000001</v>
      </c>
      <c r="G542" s="118" t="s">
        <v>538</v>
      </c>
      <c r="H542" s="185">
        <f t="shared" si="17"/>
        <v>0.29604289644803106</v>
      </c>
    </row>
    <row r="543" spans="1:8" x14ac:dyDescent="0.25">
      <c r="A543" t="str">
        <f t="shared" si="18"/>
        <v>Г14954 Ф27</v>
      </c>
      <c r="B543" s="118" t="s">
        <v>562</v>
      </c>
      <c r="C543" s="117">
        <v>27</v>
      </c>
      <c r="D543" s="183">
        <v>3090</v>
      </c>
      <c r="E543" s="119">
        <f>'23'!D24</f>
        <v>160418.22300000003</v>
      </c>
      <c r="F543" s="119">
        <f>'23'!E24</f>
        <v>207874.65299999999</v>
      </c>
      <c r="G543" s="118" t="s">
        <v>538</v>
      </c>
      <c r="H543" s="185">
        <f t="shared" si="17"/>
        <v>0.29582942082583696</v>
      </c>
    </row>
    <row r="544" spans="1:8" x14ac:dyDescent="0.25">
      <c r="A544" t="str">
        <f t="shared" si="18"/>
        <v>Г14954 Ф29,5</v>
      </c>
      <c r="B544" s="118" t="s">
        <v>562</v>
      </c>
      <c r="C544" s="117">
        <v>29.5</v>
      </c>
      <c r="D544" s="183">
        <v>3705</v>
      </c>
      <c r="E544" s="119">
        <f>'23'!D25</f>
        <v>192149.35950000002</v>
      </c>
      <c r="F544" s="119">
        <f>'23'!E25</f>
        <v>249190.63050000003</v>
      </c>
      <c r="G544" s="118" t="s">
        <v>538</v>
      </c>
      <c r="H544" s="185">
        <f t="shared" si="17"/>
        <v>0.2968590223169596</v>
      </c>
    </row>
    <row r="545" spans="1:8" x14ac:dyDescent="0.25">
      <c r="A545" t="str">
        <f t="shared" si="18"/>
        <v>Г14954 Ф31</v>
      </c>
      <c r="B545" s="118" t="s">
        <v>562</v>
      </c>
      <c r="C545" s="117">
        <v>31</v>
      </c>
      <c r="D545" s="183">
        <v>4125</v>
      </c>
      <c r="E545" s="119">
        <f>'23'!D26</f>
        <v>212724.9705</v>
      </c>
      <c r="F545" s="119">
        <f>'23'!E26</f>
        <v>275818.30499999999</v>
      </c>
      <c r="G545" s="118" t="s">
        <v>538</v>
      </c>
      <c r="H545" s="185">
        <f t="shared" si="17"/>
        <v>0.29659580796604224</v>
      </c>
    </row>
    <row r="546" spans="1:8" x14ac:dyDescent="0.25">
      <c r="A546" t="str">
        <f t="shared" si="18"/>
        <v>Г14954 Ф33</v>
      </c>
      <c r="B546" s="118" t="s">
        <v>562</v>
      </c>
      <c r="C546" s="117">
        <v>33</v>
      </c>
      <c r="D546" s="183">
        <v>4565</v>
      </c>
      <c r="E546" s="119">
        <f>'23'!D27</f>
        <v>235019.337</v>
      </c>
      <c r="F546" s="119">
        <f>'23'!E27</f>
        <v>304562.42250000004</v>
      </c>
      <c r="G546" s="118" t="s">
        <v>538</v>
      </c>
      <c r="H546" s="185">
        <f t="shared" si="17"/>
        <v>0.29590367493888414</v>
      </c>
    </row>
    <row r="547" spans="1:8" x14ac:dyDescent="0.25">
      <c r="A547" t="str">
        <f t="shared" si="18"/>
        <v>Г14954 Ф36</v>
      </c>
      <c r="B547" s="118" t="s">
        <v>562</v>
      </c>
      <c r="C547" s="117">
        <v>36</v>
      </c>
      <c r="D547" s="183">
        <v>5410</v>
      </c>
      <c r="E547" s="119">
        <f>'23'!D28</f>
        <v>275771.01300000004</v>
      </c>
      <c r="F547" s="119">
        <f>'23'!E28</f>
        <v>357417.20700000005</v>
      </c>
      <c r="G547" s="118" t="s">
        <v>538</v>
      </c>
      <c r="H547" s="185">
        <f t="shared" si="17"/>
        <v>0.29606517781475472</v>
      </c>
    </row>
    <row r="548" spans="1:8" x14ac:dyDescent="0.25">
      <c r="A548" t="str">
        <f t="shared" si="18"/>
        <v>Г14954 Ф38,5</v>
      </c>
      <c r="B548" s="118" t="s">
        <v>562</v>
      </c>
      <c r="C548" s="117">
        <v>38.5</v>
      </c>
      <c r="D548" s="183">
        <v>6190</v>
      </c>
      <c r="E548" s="119">
        <f>'23'!D29</f>
        <v>306356.94600000005</v>
      </c>
      <c r="F548" s="119">
        <f>'23'!E29</f>
        <v>397180.27650000004</v>
      </c>
      <c r="G548" s="118" t="s">
        <v>538</v>
      </c>
      <c r="H548" s="185">
        <f t="shared" si="17"/>
        <v>0.2964624490675003</v>
      </c>
    </row>
    <row r="549" spans="1:8" x14ac:dyDescent="0.25">
      <c r="A549" t="str">
        <f t="shared" si="18"/>
        <v>Г14954 Ф41</v>
      </c>
      <c r="B549" s="118" t="s">
        <v>562</v>
      </c>
      <c r="C549" s="117">
        <v>41</v>
      </c>
      <c r="D549" s="183">
        <v>7050</v>
      </c>
      <c r="E549" s="119">
        <f>'23'!D30</f>
        <v>344906.90850000002</v>
      </c>
      <c r="F549" s="119">
        <f>'23'!E30</f>
        <v>447293.13300000003</v>
      </c>
      <c r="G549" s="118" t="s">
        <v>538</v>
      </c>
      <c r="H549" s="185">
        <f t="shared" si="17"/>
        <v>0.296851764858169</v>
      </c>
    </row>
    <row r="550" spans="1:8" x14ac:dyDescent="0.25">
      <c r="A550" t="str">
        <f t="shared" si="18"/>
        <v>Г14954 Ф46,5</v>
      </c>
      <c r="B550" s="118" t="s">
        <v>562</v>
      </c>
      <c r="C550" s="117">
        <v>46.5</v>
      </c>
      <c r="D550" s="183">
        <v>9065</v>
      </c>
      <c r="E550" s="119">
        <f>'23'!D31</f>
        <v>440459.9535</v>
      </c>
      <c r="F550" s="119">
        <f>'23'!E31</f>
        <v>570869.90100000007</v>
      </c>
      <c r="G550" s="118" t="s">
        <v>538</v>
      </c>
      <c r="H550" s="185">
        <f t="shared" si="17"/>
        <v>0.29607674083360247</v>
      </c>
    </row>
    <row r="551" spans="1:8" x14ac:dyDescent="0.25">
      <c r="A551" t="str">
        <f t="shared" si="18"/>
        <v>Г14954 Ф49,5</v>
      </c>
      <c r="B551" s="118" t="s">
        <v>562</v>
      </c>
      <c r="C551" s="117">
        <v>49.5</v>
      </c>
      <c r="D551" s="183">
        <v>10250</v>
      </c>
      <c r="E551" s="119">
        <f>'23'!D32</f>
        <v>492940.83300000004</v>
      </c>
      <c r="F551" s="119">
        <f>'23'!E32</f>
        <v>638948.75100000005</v>
      </c>
      <c r="G551" s="118" t="s">
        <v>538</v>
      </c>
      <c r="H551" s="185">
        <f t="shared" si="17"/>
        <v>0.29619765340072779</v>
      </c>
    </row>
    <row r="552" spans="1:8" x14ac:dyDescent="0.25">
      <c r="A552" t="str">
        <f t="shared" si="18"/>
        <v>Г14954 Ф55</v>
      </c>
      <c r="B552" s="118" t="s">
        <v>562</v>
      </c>
      <c r="C552" s="117">
        <v>55</v>
      </c>
      <c r="D552" s="183">
        <v>12650</v>
      </c>
      <c r="E552" s="119">
        <f>'23'!D33</f>
        <v>562759.32300000009</v>
      </c>
      <c r="F552" s="119">
        <f>'23'!E33</f>
        <v>729580.77150000003</v>
      </c>
      <c r="G552" s="118" t="s">
        <v>538</v>
      </c>
      <c r="H552" s="185">
        <f t="shared" si="17"/>
        <v>0.29643480202281758</v>
      </c>
    </row>
    <row r="553" spans="1:8" x14ac:dyDescent="0.25">
      <c r="A553" t="str">
        <f t="shared" si="18"/>
        <v>Г16827 Ф45</v>
      </c>
      <c r="B553" s="118" t="s">
        <v>563</v>
      </c>
      <c r="C553" s="117">
        <v>45</v>
      </c>
      <c r="D553" s="183">
        <v>9064.7000000000007</v>
      </c>
      <c r="E553" s="119">
        <f>'24'!D7</f>
        <v>686056.62300000002</v>
      </c>
      <c r="F553" s="119">
        <f>'24'!E7</f>
        <v>889614</v>
      </c>
      <c r="G553" s="118" t="s">
        <v>538</v>
      </c>
      <c r="H553" s="185">
        <f t="shared" si="17"/>
        <v>0.29670637987558646</v>
      </c>
    </row>
    <row r="554" spans="1:8" x14ac:dyDescent="0.25">
      <c r="A554" t="str">
        <f t="shared" si="18"/>
        <v>Г16827 Ф50</v>
      </c>
      <c r="B554" s="118" t="s">
        <v>563</v>
      </c>
      <c r="C554" s="117">
        <v>50</v>
      </c>
      <c r="D554" s="183">
        <v>10334</v>
      </c>
      <c r="E554" s="119">
        <f>'24'!D8</f>
        <v>771142.52249999996</v>
      </c>
      <c r="F554" s="119">
        <f>'24'!E8</f>
        <v>999945.90150000015</v>
      </c>
      <c r="G554" s="118" t="s">
        <v>538</v>
      </c>
      <c r="H554" s="185">
        <f t="shared" si="17"/>
        <v>0.29670699296704939</v>
      </c>
    </row>
    <row r="555" spans="1:8" x14ac:dyDescent="0.25">
      <c r="A555" t="str">
        <f t="shared" si="18"/>
        <v>Г16827 Ф60</v>
      </c>
      <c r="B555" s="118" t="s">
        <v>563</v>
      </c>
      <c r="C555" s="117">
        <v>60</v>
      </c>
      <c r="D555" s="183">
        <v>15222</v>
      </c>
      <c r="E555" s="119">
        <f>'24'!D10</f>
        <v>1128022.875</v>
      </c>
      <c r="F555" s="119">
        <f>'24'!E10</f>
        <v>0</v>
      </c>
      <c r="G555" s="118" t="s">
        <v>538</v>
      </c>
      <c r="H555" s="185">
        <f t="shared" si="17"/>
        <v>0</v>
      </c>
    </row>
    <row r="556" spans="1:8" x14ac:dyDescent="0.25">
      <c r="A556" t="str">
        <f t="shared" si="18"/>
        <v>Г16828 Ф20</v>
      </c>
      <c r="B556" s="118" t="s">
        <v>564</v>
      </c>
      <c r="C556" s="117">
        <v>20</v>
      </c>
      <c r="D556" s="183">
        <v>1560</v>
      </c>
      <c r="E556" s="119">
        <f>'24'!D17</f>
        <v>108616.7355</v>
      </c>
      <c r="F556" s="119">
        <f>'24'!E17</f>
        <v>140742.93450000003</v>
      </c>
      <c r="G556" s="118" t="s">
        <v>538</v>
      </c>
      <c r="H556" s="185">
        <f t="shared" si="17"/>
        <v>0.29577577389075582</v>
      </c>
    </row>
    <row r="557" spans="1:8" x14ac:dyDescent="0.25">
      <c r="A557" t="str">
        <f t="shared" si="18"/>
        <v>Г16828 Ф22</v>
      </c>
      <c r="B557" s="118" t="s">
        <v>564</v>
      </c>
      <c r="C557" s="117">
        <v>22</v>
      </c>
      <c r="D557" s="183">
        <v>1842</v>
      </c>
      <c r="E557" s="119">
        <f>'24'!D18</f>
        <v>122077.557</v>
      </c>
      <c r="F557" s="119">
        <f>'24'!E18</f>
        <v>158284.74900000001</v>
      </c>
      <c r="G557" s="118" t="s">
        <v>538</v>
      </c>
      <c r="H557" s="185">
        <f t="shared" si="17"/>
        <v>0.29659171505209603</v>
      </c>
    </row>
    <row r="558" spans="1:8" x14ac:dyDescent="0.25">
      <c r="A558" t="str">
        <f t="shared" si="18"/>
        <v>Г16828 Ф25</v>
      </c>
      <c r="B558" s="118" t="s">
        <v>564</v>
      </c>
      <c r="C558" s="117">
        <v>25</v>
      </c>
      <c r="D558" s="183">
        <v>2402.5</v>
      </c>
      <c r="E558" s="119">
        <f>'24'!D19</f>
        <v>155373.81299999999</v>
      </c>
      <c r="F558" s="119">
        <f>'24'!E19</f>
        <v>201387.93150000001</v>
      </c>
      <c r="G558" s="118" t="s">
        <v>538</v>
      </c>
      <c r="H558" s="185">
        <f t="shared" si="17"/>
        <v>0.29615105410330633</v>
      </c>
    </row>
    <row r="559" spans="1:8" x14ac:dyDescent="0.25">
      <c r="A559" t="str">
        <f t="shared" si="18"/>
        <v>Г16828 Ф27</v>
      </c>
      <c r="B559" s="118" t="s">
        <v>564</v>
      </c>
      <c r="C559" s="117">
        <v>27</v>
      </c>
      <c r="D559" s="183">
        <v>2808.5</v>
      </c>
      <c r="E559" s="119">
        <f>'24'!D20</f>
        <v>180058.69350000002</v>
      </c>
      <c r="F559" s="119">
        <f>'24'!E20</f>
        <v>233437.05000000002</v>
      </c>
      <c r="G559" s="118" t="s">
        <v>538</v>
      </c>
      <c r="H559" s="185">
        <f t="shared" si="17"/>
        <v>0.29644976014446089</v>
      </c>
    </row>
    <row r="560" spans="1:8" x14ac:dyDescent="0.25">
      <c r="A560" t="str">
        <f t="shared" si="18"/>
        <v>Г16828 Ф30</v>
      </c>
      <c r="B560" s="118" t="s">
        <v>564</v>
      </c>
      <c r="C560" s="117">
        <v>30</v>
      </c>
      <c r="D560" s="183">
        <v>3421.5</v>
      </c>
      <c r="E560" s="119">
        <f>'24'!D21</f>
        <v>217896.44100000002</v>
      </c>
      <c r="F560" s="119">
        <f>'24'!E21</f>
        <v>282388.76400000002</v>
      </c>
      <c r="G560" s="118" t="s">
        <v>538</v>
      </c>
      <c r="H560" s="185">
        <f t="shared" si="17"/>
        <v>0.29597694530494878</v>
      </c>
    </row>
    <row r="561" spans="1:8" x14ac:dyDescent="0.25">
      <c r="A561" t="str">
        <f t="shared" si="18"/>
        <v>Г16828 Ф32</v>
      </c>
      <c r="B561" s="118" t="s">
        <v>564</v>
      </c>
      <c r="C561" s="117">
        <v>32</v>
      </c>
      <c r="D561" s="183">
        <v>4060</v>
      </c>
      <c r="E561" s="119">
        <f>'24'!D22</f>
        <v>256562.34450000001</v>
      </c>
      <c r="F561" s="119">
        <f>'24'!E22</f>
        <v>332665.3995</v>
      </c>
      <c r="G561" s="118" t="s">
        <v>538</v>
      </c>
      <c r="H561" s="185">
        <f t="shared" si="17"/>
        <v>0.29662597271752</v>
      </c>
    </row>
    <row r="562" spans="1:8" x14ac:dyDescent="0.25">
      <c r="A562" t="str">
        <f t="shared" si="18"/>
        <v>Г16828 Ф34</v>
      </c>
      <c r="B562" s="118" t="s">
        <v>564</v>
      </c>
      <c r="C562" s="117">
        <v>34</v>
      </c>
      <c r="D562" s="183">
        <v>4552.5</v>
      </c>
      <c r="E562" s="119">
        <f>'24'!D23</f>
        <v>286274.95050000004</v>
      </c>
      <c r="F562" s="119">
        <f>'24'!E23</f>
        <v>371167.61849999998</v>
      </c>
      <c r="G562" s="118" t="s">
        <v>538</v>
      </c>
      <c r="H562" s="185">
        <f t="shared" si="17"/>
        <v>0.29654242486717308</v>
      </c>
    </row>
    <row r="563" spans="1:8" x14ac:dyDescent="0.25">
      <c r="A563" t="str">
        <f t="shared" si="18"/>
        <v>Г16828 Ф36</v>
      </c>
      <c r="B563" s="118" t="s">
        <v>564</v>
      </c>
      <c r="C563" s="117">
        <v>36</v>
      </c>
      <c r="D563" s="183">
        <v>5048</v>
      </c>
      <c r="E563" s="119">
        <f>'24'!D24</f>
        <v>315875.57400000002</v>
      </c>
      <c r="F563" s="119">
        <f>'24'!E24</f>
        <v>409355.0895</v>
      </c>
      <c r="G563" s="118" t="s">
        <v>538</v>
      </c>
      <c r="H563" s="185">
        <f t="shared" si="17"/>
        <v>0.29593777801888521</v>
      </c>
    </row>
    <row r="564" spans="1:8" x14ac:dyDescent="0.25">
      <c r="A564" t="str">
        <f t="shared" si="18"/>
        <v>Г16828 Ф38</v>
      </c>
      <c r="B564" s="118" t="s">
        <v>564</v>
      </c>
      <c r="C564" s="117">
        <v>38</v>
      </c>
      <c r="D564" s="183">
        <v>5592</v>
      </c>
      <c r="E564" s="119">
        <f>'24'!D25</f>
        <v>346976.2905</v>
      </c>
      <c r="F564" s="119">
        <f>'24'!E25</f>
        <v>449582.07000000007</v>
      </c>
      <c r="G564" s="118" t="s">
        <v>538</v>
      </c>
      <c r="H564" s="185">
        <f t="shared" si="17"/>
        <v>0.29571409433233331</v>
      </c>
    </row>
    <row r="565" spans="1:8" x14ac:dyDescent="0.25">
      <c r="A565" t="str">
        <f t="shared" si="18"/>
        <v>Г16828 Ф40</v>
      </c>
      <c r="B565" s="118" t="s">
        <v>564</v>
      </c>
      <c r="C565" s="117">
        <v>40</v>
      </c>
      <c r="D565" s="183">
        <v>6497.5</v>
      </c>
      <c r="E565" s="119">
        <f>'24'!D26</f>
        <v>400940.53650000005</v>
      </c>
      <c r="F565" s="119">
        <f>'24'!E26</f>
        <v>519859.52550000005</v>
      </c>
      <c r="G565" s="118" t="s">
        <v>538</v>
      </c>
      <c r="H565" s="185">
        <f t="shared" si="17"/>
        <v>0.29660006453350962</v>
      </c>
    </row>
    <row r="566" spans="1:8" x14ac:dyDescent="0.25">
      <c r="A566" t="str">
        <f t="shared" si="18"/>
        <v>Г16828 Ф50</v>
      </c>
      <c r="B566" s="118" t="s">
        <v>564</v>
      </c>
      <c r="C566" s="117">
        <v>50</v>
      </c>
      <c r="D566" s="183">
        <v>9624.5</v>
      </c>
      <c r="E566" s="119">
        <f>'24'!D27</f>
        <v>586554.50699999998</v>
      </c>
      <c r="F566" s="119">
        <f>'24'!E27</f>
        <v>760305.98699999996</v>
      </c>
      <c r="G566" s="118" t="s">
        <v>538</v>
      </c>
      <c r="H566" s="185">
        <f t="shared" si="17"/>
        <v>0.29622392791536423</v>
      </c>
    </row>
    <row r="567" spans="1:8" x14ac:dyDescent="0.25">
      <c r="A567" t="str">
        <f t="shared" si="18"/>
        <v>ТУ163 Ф64</v>
      </c>
      <c r="B567" s="118" t="s">
        <v>565</v>
      </c>
      <c r="C567" s="117">
        <v>64</v>
      </c>
      <c r="D567" s="183">
        <v>17499</v>
      </c>
      <c r="E567" s="119">
        <f>'25'!D6</f>
        <v>953851.94100000011</v>
      </c>
      <c r="F567" s="119">
        <f>'25'!E6</f>
        <v>0</v>
      </c>
      <c r="G567" s="118" t="s">
        <v>538</v>
      </c>
      <c r="H567" s="185">
        <f t="shared" si="17"/>
        <v>0</v>
      </c>
    </row>
    <row r="568" spans="1:8" x14ac:dyDescent="0.25">
      <c r="A568" t="str">
        <f t="shared" si="18"/>
        <v>ТУ273 Ф18</v>
      </c>
      <c r="B568" s="118" t="s">
        <v>566</v>
      </c>
      <c r="C568" s="117">
        <v>18</v>
      </c>
      <c r="D568" s="183">
        <v>1420</v>
      </c>
      <c r="E568" s="119">
        <f>'25'!D13</f>
        <v>88138.690500000012</v>
      </c>
      <c r="F568" s="119"/>
      <c r="G568" s="118" t="s">
        <v>538</v>
      </c>
      <c r="H568" s="185">
        <f t="shared" si="17"/>
        <v>0</v>
      </c>
    </row>
    <row r="569" spans="1:8" x14ac:dyDescent="0.25">
      <c r="A569" t="str">
        <f t="shared" si="18"/>
        <v>ТУ273 Ф21</v>
      </c>
      <c r="B569" s="118" t="s">
        <v>566</v>
      </c>
      <c r="C569" s="117">
        <v>21</v>
      </c>
      <c r="D569" s="183">
        <v>1980</v>
      </c>
      <c r="E569" s="119">
        <f>'25'!D14</f>
        <v>119201.7645</v>
      </c>
      <c r="F569" s="119"/>
      <c r="G569" s="118" t="s">
        <v>538</v>
      </c>
      <c r="H569" s="185">
        <f t="shared" si="17"/>
        <v>0</v>
      </c>
    </row>
    <row r="570" spans="1:8" x14ac:dyDescent="0.25">
      <c r="A570" t="str">
        <f t="shared" si="18"/>
        <v>ТУ273 Ф42</v>
      </c>
      <c r="B570" s="118" t="s">
        <v>566</v>
      </c>
      <c r="C570" s="117">
        <v>42</v>
      </c>
      <c r="D570" s="183">
        <v>7800</v>
      </c>
      <c r="E570" s="119">
        <f>'25'!D15</f>
        <v>401559.50099999999</v>
      </c>
      <c r="F570" s="119"/>
      <c r="G570" s="118" t="s">
        <v>538</v>
      </c>
      <c r="H570" s="185">
        <f t="shared" si="17"/>
        <v>0</v>
      </c>
    </row>
    <row r="571" spans="1:8" x14ac:dyDescent="0.25">
      <c r="A571" t="str">
        <f t="shared" si="18"/>
        <v>ТУ625 Ф12</v>
      </c>
      <c r="B571" s="118" t="s">
        <v>567</v>
      </c>
      <c r="C571" s="117">
        <v>12</v>
      </c>
      <c r="D571" s="183">
        <v>651.29999999999995</v>
      </c>
      <c r="E571" s="119">
        <f>'25'!D23</f>
        <v>41701.590000000004</v>
      </c>
      <c r="F571" s="119">
        <f>'25'!E23</f>
        <v>54035.908499999998</v>
      </c>
      <c r="G571" s="118" t="s">
        <v>538</v>
      </c>
      <c r="H571" s="185">
        <f t="shared" si="17"/>
        <v>0.29577573660860401</v>
      </c>
    </row>
    <row r="572" spans="1:8" x14ac:dyDescent="0.25">
      <c r="A572" t="str">
        <f t="shared" si="18"/>
        <v>ТУ625 Ф16</v>
      </c>
      <c r="B572" s="118" t="s">
        <v>567</v>
      </c>
      <c r="C572" s="117">
        <v>16</v>
      </c>
      <c r="D572" s="183">
        <v>1183.5</v>
      </c>
      <c r="E572" s="119">
        <f>'25'!D25</f>
        <v>68910.345000000001</v>
      </c>
      <c r="F572" s="119">
        <f>'25'!E25</f>
        <v>89299.434000000008</v>
      </c>
      <c r="G572" s="118" t="s">
        <v>538</v>
      </c>
      <c r="H572" s="185">
        <f t="shared" si="17"/>
        <v>0.29587849255434739</v>
      </c>
    </row>
    <row r="573" spans="1:8" x14ac:dyDescent="0.25">
      <c r="A573" t="str">
        <f t="shared" si="18"/>
        <v>ТУ721 Ф58</v>
      </c>
      <c r="B573" s="118" t="s">
        <v>568</v>
      </c>
      <c r="C573" s="117">
        <v>58</v>
      </c>
      <c r="D573" s="183">
        <v>14744</v>
      </c>
      <c r="E573" s="119"/>
      <c r="F573" s="119">
        <f>'26'!E10</f>
        <v>1351520.2140000002</v>
      </c>
      <c r="G573" s="118" t="s">
        <v>540</v>
      </c>
      <c r="H573" s="185">
        <f t="shared" si="17"/>
        <v>0</v>
      </c>
    </row>
    <row r="574" spans="1:8" x14ac:dyDescent="0.25">
      <c r="A574" t="str">
        <f t="shared" si="18"/>
        <v>ТУ721 Ф67,5</v>
      </c>
      <c r="B574" s="118" t="s">
        <v>568</v>
      </c>
      <c r="C574" s="117">
        <v>67.5</v>
      </c>
      <c r="D574" s="183">
        <v>18181</v>
      </c>
      <c r="E574" s="119"/>
      <c r="F574" s="119">
        <f>'26'!E11</f>
        <v>1636743.4160000002</v>
      </c>
      <c r="G574" s="118" t="s">
        <v>540</v>
      </c>
      <c r="H574" s="185">
        <f t="shared" si="17"/>
        <v>0</v>
      </c>
    </row>
    <row r="575" spans="1:8" x14ac:dyDescent="0.25">
      <c r="A575" t="str">
        <f t="shared" si="18"/>
        <v>ТУ721 Ф80</v>
      </c>
      <c r="B575" s="118" t="s">
        <v>568</v>
      </c>
      <c r="C575" s="117">
        <v>80</v>
      </c>
      <c r="D575" s="183">
        <v>26928</v>
      </c>
      <c r="E575" s="119"/>
      <c r="F575" s="119">
        <f>'26'!E12</f>
        <v>2257355.1880000001</v>
      </c>
      <c r="G575" s="118" t="s">
        <v>540</v>
      </c>
      <c r="H575" s="185">
        <f t="shared" si="17"/>
        <v>0</v>
      </c>
    </row>
    <row r="576" spans="1:8" x14ac:dyDescent="0.25">
      <c r="A576" t="str">
        <f t="shared" si="18"/>
        <v>ТУ721 Ф90</v>
      </c>
      <c r="B576" s="118" t="s">
        <v>568</v>
      </c>
      <c r="C576" s="117">
        <v>90</v>
      </c>
      <c r="D576" s="183">
        <v>34300</v>
      </c>
      <c r="E576" s="119"/>
      <c r="F576" s="119">
        <f>'26'!E13</f>
        <v>2919741.352</v>
      </c>
      <c r="G576" s="118" t="s">
        <v>540</v>
      </c>
      <c r="H576" s="185">
        <f t="shared" si="17"/>
        <v>0</v>
      </c>
    </row>
    <row r="577" spans="1:8" x14ac:dyDescent="0.25">
      <c r="A577" t="str">
        <f t="shared" si="18"/>
        <v>ТУ722 Ф37,5</v>
      </c>
      <c r="B577" s="118" t="s">
        <v>569</v>
      </c>
      <c r="C577" s="117">
        <v>37.5</v>
      </c>
      <c r="D577" s="183">
        <v>6420</v>
      </c>
      <c r="E577" s="119"/>
      <c r="F577" s="119">
        <f>'26'!E21</f>
        <v>522935.72100000002</v>
      </c>
      <c r="G577" s="118" t="s">
        <v>538</v>
      </c>
      <c r="H577" s="185">
        <f t="shared" si="17"/>
        <v>0</v>
      </c>
    </row>
    <row r="578" spans="1:8" x14ac:dyDescent="0.25">
      <c r="A578" t="str">
        <f t="shared" si="18"/>
        <v>ТУ722 Ф49,5</v>
      </c>
      <c r="B578" s="118" t="s">
        <v>569</v>
      </c>
      <c r="C578" s="117">
        <v>49.5</v>
      </c>
      <c r="D578" s="183">
        <v>10400</v>
      </c>
      <c r="E578" s="119"/>
      <c r="F578" s="119">
        <f>'26'!E22</f>
        <v>834953.50400000007</v>
      </c>
      <c r="G578" s="118" t="s">
        <v>538</v>
      </c>
      <c r="H578" s="185">
        <f t="shared" si="17"/>
        <v>0</v>
      </c>
    </row>
    <row r="579" spans="1:8" x14ac:dyDescent="0.25">
      <c r="A579" t="str">
        <f t="shared" si="18"/>
        <v>ТУ722 Ф54</v>
      </c>
      <c r="B579" s="118" t="s">
        <v>569</v>
      </c>
      <c r="C579" s="117">
        <v>54</v>
      </c>
      <c r="D579" s="183">
        <v>13150</v>
      </c>
      <c r="E579" s="119"/>
      <c r="F579" s="119">
        <f>'26'!E23</f>
        <v>1041124.799</v>
      </c>
      <c r="G579" s="118" t="s">
        <v>538</v>
      </c>
      <c r="H579" s="185">
        <f t="shared" si="17"/>
        <v>0</v>
      </c>
    </row>
    <row r="580" spans="1:8" x14ac:dyDescent="0.25">
      <c r="A580" t="str">
        <f t="shared" si="18"/>
        <v>Г13840 Ф9</v>
      </c>
      <c r="B580" s="118" t="s">
        <v>570</v>
      </c>
      <c r="C580" s="117">
        <v>9</v>
      </c>
      <c r="D580" s="183">
        <v>419</v>
      </c>
      <c r="E580" s="119"/>
      <c r="F580" s="119"/>
      <c r="G580" s="118" t="s">
        <v>542</v>
      </c>
      <c r="H580" s="185">
        <f t="shared" si="17"/>
        <v>0</v>
      </c>
    </row>
    <row r="581" spans="1:8" x14ac:dyDescent="0.25">
      <c r="A581" t="str">
        <f t="shared" si="18"/>
        <v>Г13840 Ф12</v>
      </c>
      <c r="B581" s="118" t="s">
        <v>570</v>
      </c>
      <c r="C581" s="117">
        <v>12</v>
      </c>
      <c r="D581" s="183">
        <v>736</v>
      </c>
      <c r="E581" s="119"/>
      <c r="F581" s="119"/>
      <c r="G581" s="118" t="s">
        <v>542</v>
      </c>
      <c r="H581" s="185">
        <f t="shared" si="17"/>
        <v>0</v>
      </c>
    </row>
    <row r="582" spans="1:8" x14ac:dyDescent="0.25">
      <c r="A582" t="str">
        <f t="shared" si="18"/>
        <v>Г13840 Ф15</v>
      </c>
      <c r="B582" s="118" t="s">
        <v>570</v>
      </c>
      <c r="C582" s="117">
        <v>15</v>
      </c>
      <c r="D582" s="183">
        <v>1099</v>
      </c>
      <c r="E582" s="119"/>
      <c r="F582" s="119"/>
      <c r="G582" s="118" t="s">
        <v>542</v>
      </c>
      <c r="H582" s="185">
        <f t="shared" si="17"/>
        <v>0</v>
      </c>
    </row>
    <row r="583" spans="1:8" x14ac:dyDescent="0.25">
      <c r="A583" t="str">
        <f t="shared" si="18"/>
        <v>Г3090 Ф30,5</v>
      </c>
      <c r="B583" s="118" t="s">
        <v>571</v>
      </c>
      <c r="C583" s="117">
        <v>30.5</v>
      </c>
      <c r="D583" s="183">
        <v>5249.8</v>
      </c>
      <c r="E583" s="119">
        <f>'27'!D9</f>
        <v>912673.47250000003</v>
      </c>
      <c r="F583" s="119">
        <f>'27'!E9</f>
        <v>1143664.517</v>
      </c>
      <c r="G583" s="118" t="s">
        <v>538</v>
      </c>
      <c r="H583" s="185">
        <f t="shared" si="17"/>
        <v>0.25309275601850034</v>
      </c>
    </row>
    <row r="584" spans="1:8" x14ac:dyDescent="0.25">
      <c r="A584" t="str">
        <f t="shared" si="18"/>
        <v>Г3090 Ф32</v>
      </c>
      <c r="B584" s="118" t="s">
        <v>571</v>
      </c>
      <c r="C584" s="117">
        <v>32</v>
      </c>
      <c r="D584" s="183">
        <v>5737.1</v>
      </c>
      <c r="E584" s="119">
        <f>'27'!D10</f>
        <v>987335.16489999997</v>
      </c>
      <c r="F584" s="119">
        <f>'27'!E10</f>
        <v>1239156.4144000001</v>
      </c>
      <c r="G584" s="118" t="s">
        <v>538</v>
      </c>
      <c r="H584" s="185">
        <f t="shared" si="17"/>
        <v>0.25505143385175111</v>
      </c>
    </row>
    <row r="585" spans="1:8" x14ac:dyDescent="0.25">
      <c r="A585" t="str">
        <f t="shared" si="18"/>
        <v>Г3090 Ф34</v>
      </c>
      <c r="B585" s="118" t="s">
        <v>571</v>
      </c>
      <c r="C585" s="117">
        <v>34</v>
      </c>
      <c r="D585" s="183">
        <v>6300.6</v>
      </c>
      <c r="E585" s="119">
        <f>'27'!D11</f>
        <v>1076543.3207</v>
      </c>
      <c r="F585" s="119">
        <f>'27'!E11</f>
        <v>1352629.3925999999</v>
      </c>
      <c r="G585" s="118" t="s">
        <v>538</v>
      </c>
      <c r="H585" s="185">
        <f t="shared" si="17"/>
        <v>0.25645607249737123</v>
      </c>
    </row>
    <row r="586" spans="1:8" x14ac:dyDescent="0.25">
      <c r="A586" t="str">
        <f t="shared" si="18"/>
        <v>Г3090 Ф35,5</v>
      </c>
      <c r="B586" s="118" t="s">
        <v>571</v>
      </c>
      <c r="C586" s="117">
        <v>35.5</v>
      </c>
      <c r="D586" s="183">
        <v>6810.3</v>
      </c>
      <c r="E586" s="119">
        <f>'27'!D12</f>
        <v>1160559.6584999999</v>
      </c>
      <c r="F586" s="119">
        <f>'27'!E12</f>
        <v>1459182.7587000001</v>
      </c>
      <c r="G586" s="118" t="s">
        <v>538</v>
      </c>
      <c r="H586" s="185">
        <f t="shared" ref="H586:H641" si="19">IF(OR(E586=0,F586=0),0,F586/E586-1)</f>
        <v>0.2573095644096095</v>
      </c>
    </row>
    <row r="587" spans="1:8" x14ac:dyDescent="0.25">
      <c r="A587" t="str">
        <f t="shared" si="18"/>
        <v>Г18901 Ф38,5</v>
      </c>
      <c r="B587" s="118" t="s">
        <v>572</v>
      </c>
      <c r="C587" s="117">
        <v>38.5</v>
      </c>
      <c r="D587" s="183">
        <v>8581.5</v>
      </c>
      <c r="E587" s="119" t="e">
        <f>'27'!#REF!</f>
        <v>#REF!</v>
      </c>
      <c r="F587" s="119" t="e">
        <f>'27'!#REF!</f>
        <v>#REF!</v>
      </c>
      <c r="G587" s="118" t="s">
        <v>538</v>
      </c>
      <c r="H587" s="185" t="e">
        <f t="shared" si="19"/>
        <v>#REF!</v>
      </c>
    </row>
    <row r="588" spans="1:8" x14ac:dyDescent="0.25">
      <c r="A588" t="str">
        <f t="shared" si="18"/>
        <v>Г18901 Ф40,5</v>
      </c>
      <c r="B588" s="118" t="s">
        <v>572</v>
      </c>
      <c r="C588" s="117">
        <v>40.5</v>
      </c>
      <c r="D588" s="183">
        <v>9318.9</v>
      </c>
      <c r="E588" s="119">
        <f>'27'!D19</f>
        <v>1815033.452</v>
      </c>
      <c r="F588" s="119">
        <f>'27'!E19</f>
        <v>2236858.0142999999</v>
      </c>
      <c r="G588" s="118" t="s">
        <v>538</v>
      </c>
      <c r="H588" s="185">
        <f t="shared" si="19"/>
        <v>0.2324059437225181</v>
      </c>
    </row>
    <row r="589" spans="1:8" x14ac:dyDescent="0.25">
      <c r="A589" t="str">
        <f t="shared" si="18"/>
        <v>Г18901 Ф42,5</v>
      </c>
      <c r="B589" s="118" t="s">
        <v>572</v>
      </c>
      <c r="C589" s="117">
        <v>42.5</v>
      </c>
      <c r="D589" s="183">
        <v>10384</v>
      </c>
      <c r="E589" s="119">
        <f>'27'!D20</f>
        <v>2004570.0865000002</v>
      </c>
      <c r="F589" s="119">
        <f>'27'!E20</f>
        <v>2473526.1510000001</v>
      </c>
      <c r="G589" s="118" t="s">
        <v>538</v>
      </c>
      <c r="H589" s="185">
        <f t="shared" si="19"/>
        <v>0.23394346132282262</v>
      </c>
    </row>
    <row r="590" spans="1:8" x14ac:dyDescent="0.25">
      <c r="A590" t="str">
        <f t="shared" si="18"/>
        <v>Г18901 Ф45</v>
      </c>
      <c r="B590" s="118" t="s">
        <v>572</v>
      </c>
      <c r="C590" s="117">
        <v>45</v>
      </c>
      <c r="D590" s="183">
        <v>11427.2</v>
      </c>
      <c r="E590" s="119">
        <f>'27'!D21</f>
        <v>2178817.7408999996</v>
      </c>
      <c r="F590" s="119">
        <f>'27'!E21</f>
        <v>2693242.4756</v>
      </c>
      <c r="G590" s="118" t="s">
        <v>538</v>
      </c>
      <c r="H590" s="185">
        <f t="shared" si="19"/>
        <v>0.23610269231950909</v>
      </c>
    </row>
    <row r="591" spans="1:8" x14ac:dyDescent="0.25">
      <c r="A591" t="str">
        <f t="shared" ref="A591:A620" si="20">CONCATENATE(B591," Ф",C591)</f>
        <v>Г18901 Ф47</v>
      </c>
      <c r="B591" s="118" t="s">
        <v>572</v>
      </c>
      <c r="C591" s="117">
        <v>47</v>
      </c>
      <c r="D591" s="183">
        <v>12645.6</v>
      </c>
      <c r="E591" s="119">
        <f>'27'!D22</f>
        <v>2402715.1342000002</v>
      </c>
      <c r="F591" s="119">
        <f>'27'!E22</f>
        <v>2971477.8897000002</v>
      </c>
      <c r="G591" s="118" t="s">
        <v>538</v>
      </c>
      <c r="H591" s="185">
        <f t="shared" si="19"/>
        <v>0.23671668247487587</v>
      </c>
    </row>
    <row r="592" spans="1:8" x14ac:dyDescent="0.25">
      <c r="A592" t="str">
        <f t="shared" si="20"/>
        <v>Г18901 Ф51</v>
      </c>
      <c r="B592" s="118" t="s">
        <v>572</v>
      </c>
      <c r="C592" s="117">
        <v>51</v>
      </c>
      <c r="D592" s="183">
        <v>14635.3</v>
      </c>
      <c r="E592" s="119">
        <f>'27'!D23</f>
        <v>2746094.6287000002</v>
      </c>
      <c r="F592" s="119">
        <f>'27'!E23</f>
        <v>3402248.62</v>
      </c>
      <c r="G592" s="118" t="s">
        <v>538</v>
      </c>
      <c r="H592" s="185">
        <f t="shared" si="19"/>
        <v>0.23894077955012882</v>
      </c>
    </row>
    <row r="593" spans="1:8" x14ac:dyDescent="0.25">
      <c r="A593" t="str">
        <f t="shared" si="20"/>
        <v>Г18901 Ф54</v>
      </c>
      <c r="B593" s="118" t="s">
        <v>572</v>
      </c>
      <c r="C593" s="117">
        <v>54</v>
      </c>
      <c r="D593" s="183">
        <v>16679.099999999999</v>
      </c>
      <c r="E593" s="119">
        <f>'27'!D24</f>
        <v>3119531.7376999999</v>
      </c>
      <c r="F593" s="119">
        <f>'27'!E24</f>
        <v>3866712.1644000001</v>
      </c>
      <c r="G593" s="118" t="s">
        <v>538</v>
      </c>
      <c r="H593" s="185">
        <f t="shared" si="19"/>
        <v>0.23951685365794328</v>
      </c>
    </row>
    <row r="594" spans="1:8" x14ac:dyDescent="0.25">
      <c r="A594" t="str">
        <f t="shared" si="20"/>
        <v>Г7675 Ф38,5</v>
      </c>
      <c r="B594" s="118" t="s">
        <v>573</v>
      </c>
      <c r="C594" s="117">
        <v>38.5</v>
      </c>
      <c r="D594" s="183">
        <v>8692</v>
      </c>
      <c r="E594" s="119">
        <f>'27'!D31</f>
        <v>1623257.5460000001</v>
      </c>
      <c r="F594" s="119">
        <f>'27'!E31</f>
        <v>2012485.2142</v>
      </c>
      <c r="G594" s="118" t="s">
        <v>538</v>
      </c>
      <c r="H594" s="185">
        <f t="shared" si="19"/>
        <v>0.23978183200757464</v>
      </c>
    </row>
    <row r="595" spans="1:8" x14ac:dyDescent="0.25">
      <c r="A595" t="str">
        <f t="shared" si="20"/>
        <v>Г7675 Ф40,5</v>
      </c>
      <c r="B595" s="118" t="s">
        <v>573</v>
      </c>
      <c r="C595" s="117">
        <v>40.5</v>
      </c>
      <c r="D595" s="183">
        <v>9648.1</v>
      </c>
      <c r="E595" s="119">
        <f>'27'!D32</f>
        <v>1785648.2009000001</v>
      </c>
      <c r="F595" s="119">
        <f>'27'!E32</f>
        <v>2216719.2070999998</v>
      </c>
      <c r="G595" s="118" t="s">
        <v>538</v>
      </c>
      <c r="H595" s="185">
        <f t="shared" si="19"/>
        <v>0.24140869740340332</v>
      </c>
    </row>
    <row r="596" spans="1:8" x14ac:dyDescent="0.25">
      <c r="A596" t="str">
        <f t="shared" si="20"/>
        <v>Г7675 Ф42,5</v>
      </c>
      <c r="B596" s="118" t="s">
        <v>573</v>
      </c>
      <c r="C596" s="117">
        <v>42.5</v>
      </c>
      <c r="D596" s="183">
        <v>10468.4</v>
      </c>
      <c r="E596" s="119">
        <f>'27'!D33</f>
        <v>1920255.574</v>
      </c>
      <c r="F596" s="119">
        <f>'27'!E33</f>
        <v>2386931.7747000004</v>
      </c>
      <c r="G596" s="118" t="s">
        <v>538</v>
      </c>
      <c r="H596" s="185">
        <f t="shared" si="19"/>
        <v>0.24302817136361066</v>
      </c>
    </row>
    <row r="597" spans="1:8" x14ac:dyDescent="0.25">
      <c r="A597" t="str">
        <f t="shared" si="20"/>
        <v>Г7675 Ф45</v>
      </c>
      <c r="B597" s="118" t="s">
        <v>573</v>
      </c>
      <c r="C597" s="117">
        <v>45</v>
      </c>
      <c r="D597" s="183">
        <v>11620.1</v>
      </c>
      <c r="E597" s="119">
        <f>'27'!D34</f>
        <v>2105512.4658000004</v>
      </c>
      <c r="F597" s="119">
        <f>'27'!E34</f>
        <v>2621956.8142000004</v>
      </c>
      <c r="G597" s="118" t="s">
        <v>538</v>
      </c>
      <c r="H597" s="185">
        <f t="shared" si="19"/>
        <v>0.24528201888549472</v>
      </c>
    </row>
    <row r="598" spans="1:8" x14ac:dyDescent="0.25">
      <c r="A598" t="str">
        <f t="shared" si="20"/>
        <v>Г7675 Ф47</v>
      </c>
      <c r="B598" s="118" t="s">
        <v>573</v>
      </c>
      <c r="C598" s="117">
        <v>47</v>
      </c>
      <c r="D598" s="183">
        <v>12625.8</v>
      </c>
      <c r="E598" s="119">
        <f>'27'!D35</f>
        <v>2279818.5932999998</v>
      </c>
      <c r="F598" s="119">
        <f>'27'!E35</f>
        <v>2840482.6648000004</v>
      </c>
      <c r="G598" s="118" t="s">
        <v>538</v>
      </c>
      <c r="H598" s="185">
        <f t="shared" si="19"/>
        <v>0.24592486136734615</v>
      </c>
    </row>
    <row r="599" spans="1:8" x14ac:dyDescent="0.25">
      <c r="A599" t="str">
        <f t="shared" si="20"/>
        <v>Г7675 Ф51</v>
      </c>
      <c r="B599" s="118" t="s">
        <v>573</v>
      </c>
      <c r="C599" s="117">
        <v>51</v>
      </c>
      <c r="D599" s="183">
        <v>14557</v>
      </c>
      <c r="E599" s="119">
        <f>'27'!D36</f>
        <v>2595525.9018000001</v>
      </c>
      <c r="F599" s="119">
        <f>'27'!E36</f>
        <v>3239953.9301999998</v>
      </c>
      <c r="G599" s="118" t="s">
        <v>538</v>
      </c>
      <c r="H599" s="185">
        <f t="shared" si="19"/>
        <v>0.24828418316037149</v>
      </c>
    </row>
    <row r="600" spans="1:8" x14ac:dyDescent="0.25">
      <c r="A600" t="str">
        <f t="shared" si="20"/>
        <v>Г7676 Ф50</v>
      </c>
      <c r="B600" s="118" t="s">
        <v>574</v>
      </c>
      <c r="C600" s="117">
        <v>50</v>
      </c>
      <c r="D600" s="183">
        <v>14695.1</v>
      </c>
      <c r="E600" s="119" t="e">
        <f>'27'!#REF!</f>
        <v>#REF!</v>
      </c>
      <c r="F600" s="119" t="e">
        <f>'27'!#REF!</f>
        <v>#REF!</v>
      </c>
      <c r="G600" s="118" t="s">
        <v>538</v>
      </c>
      <c r="H600" s="185" t="e">
        <f t="shared" si="19"/>
        <v>#REF!</v>
      </c>
    </row>
    <row r="601" spans="1:8" x14ac:dyDescent="0.25">
      <c r="A601" t="str">
        <f t="shared" si="20"/>
        <v>Г7676 Ф52</v>
      </c>
      <c r="B601" s="118" t="s">
        <v>574</v>
      </c>
      <c r="C601" s="117">
        <v>52</v>
      </c>
      <c r="D601" s="183">
        <v>15828.3</v>
      </c>
      <c r="E601" s="119">
        <f>'27'!D43</f>
        <v>2915337.5543</v>
      </c>
      <c r="F601" s="119">
        <f>'27'!E43</f>
        <v>3552781.5235000001</v>
      </c>
      <c r="G601" s="118" t="s">
        <v>538</v>
      </c>
      <c r="H601" s="185">
        <f t="shared" si="19"/>
        <v>0.21865185671545895</v>
      </c>
    </row>
    <row r="602" spans="1:8" x14ac:dyDescent="0.25">
      <c r="A602" t="str">
        <f t="shared" si="20"/>
        <v>Г7676 Ф54</v>
      </c>
      <c r="B602" s="118" t="s">
        <v>574</v>
      </c>
      <c r="C602" s="117">
        <v>54</v>
      </c>
      <c r="D602" s="183">
        <v>17043.7</v>
      </c>
      <c r="E602" s="119">
        <f>'27'!D44</f>
        <v>3168678.6614999999</v>
      </c>
      <c r="F602" s="119">
        <f>'27'!E44</f>
        <v>3931041.0101000001</v>
      </c>
      <c r="G602" s="118" t="s">
        <v>538</v>
      </c>
      <c r="H602" s="185">
        <f t="shared" si="19"/>
        <v>0.24059313993016596</v>
      </c>
    </row>
    <row r="603" spans="1:8" x14ac:dyDescent="0.25">
      <c r="A603" t="str">
        <f t="shared" si="20"/>
        <v>Г7676 Ф55</v>
      </c>
      <c r="B603" s="118" t="s">
        <v>574</v>
      </c>
      <c r="C603" s="117">
        <v>55</v>
      </c>
      <c r="D603" s="183">
        <v>17280.599999999999</v>
      </c>
      <c r="E603" s="119">
        <f>'27'!D45</f>
        <v>3203957.3357000002</v>
      </c>
      <c r="F603" s="119">
        <f>'27'!E45</f>
        <v>3976384.3190000001</v>
      </c>
      <c r="G603" s="118" t="s">
        <v>538</v>
      </c>
      <c r="H603" s="185">
        <f t="shared" si="19"/>
        <v>0.24108528996102874</v>
      </c>
    </row>
    <row r="604" spans="1:8" x14ac:dyDescent="0.25">
      <c r="A604" t="str">
        <f t="shared" si="20"/>
        <v>Г7676 Ф60</v>
      </c>
      <c r="B604" s="118" t="s">
        <v>574</v>
      </c>
      <c r="C604" s="117">
        <v>60</v>
      </c>
      <c r="D604" s="183">
        <v>20636</v>
      </c>
      <c r="E604" s="119">
        <f>'27'!D46</f>
        <v>3772304.1566000003</v>
      </c>
      <c r="F604" s="119">
        <f>'27'!E46</f>
        <v>4691466.8248000005</v>
      </c>
      <c r="G604" s="118" t="s">
        <v>538</v>
      </c>
      <c r="H604" s="185">
        <f t="shared" si="19"/>
        <v>0.24366080518503219</v>
      </c>
    </row>
    <row r="605" spans="1:8" x14ac:dyDescent="0.25">
      <c r="A605" t="str">
        <f t="shared" si="20"/>
        <v>Г7676 Ф65</v>
      </c>
      <c r="B605" s="118" t="s">
        <v>574</v>
      </c>
      <c r="C605" s="117">
        <v>65</v>
      </c>
      <c r="D605" s="183">
        <v>23673.1</v>
      </c>
      <c r="E605" s="119">
        <f>'27'!D47</f>
        <v>4291802.2283999994</v>
      </c>
      <c r="F605" s="119">
        <f>'27'!E47</f>
        <v>5344080.6134000001</v>
      </c>
      <c r="G605" s="118" t="s">
        <v>538</v>
      </c>
      <c r="H605" s="185">
        <f t="shared" si="19"/>
        <v>0.24518333534494996</v>
      </c>
    </row>
    <row r="606" spans="1:8" x14ac:dyDescent="0.25">
      <c r="A606" t="str">
        <f t="shared" si="20"/>
        <v>Г7676 Ф70</v>
      </c>
      <c r="B606" s="118" t="s">
        <v>574</v>
      </c>
      <c r="C606" s="117">
        <v>70</v>
      </c>
      <c r="D606" s="183">
        <v>27671.200000000001</v>
      </c>
      <c r="E606" s="119">
        <f>'27'!D48</f>
        <v>4938061.4835000001</v>
      </c>
      <c r="F606" s="119">
        <f>'27'!E48</f>
        <v>6163298.3439999996</v>
      </c>
      <c r="G606" s="118" t="s">
        <v>538</v>
      </c>
      <c r="H606" s="185">
        <f t="shared" si="19"/>
        <v>0.24812102169930372</v>
      </c>
    </row>
    <row r="607" spans="1:8" x14ac:dyDescent="0.25">
      <c r="A607" t="str">
        <f t="shared" si="20"/>
        <v>ТУ1216 Ф32</v>
      </c>
      <c r="B607" s="118" t="s">
        <v>575</v>
      </c>
      <c r="C607" s="117">
        <v>32</v>
      </c>
      <c r="D607" s="183">
        <v>6057</v>
      </c>
      <c r="E607" s="119"/>
      <c r="F607" s="119">
        <f>'27'!E55</f>
        <v>1703880.3737000001</v>
      </c>
      <c r="G607" s="118" t="s">
        <v>542</v>
      </c>
      <c r="H607" s="185">
        <f t="shared" si="19"/>
        <v>0</v>
      </c>
    </row>
    <row r="608" spans="1:8" x14ac:dyDescent="0.25">
      <c r="A608" t="str">
        <f t="shared" si="20"/>
        <v>ТУ1216 Ф52</v>
      </c>
      <c r="B608" s="118" t="s">
        <v>575</v>
      </c>
      <c r="C608" s="117">
        <v>52</v>
      </c>
      <c r="D608" s="183">
        <v>16848</v>
      </c>
      <c r="E608" s="119"/>
      <c r="F608" s="119">
        <f>'27'!E56</f>
        <v>5036567.0476000002</v>
      </c>
      <c r="G608" s="118" t="s">
        <v>542</v>
      </c>
      <c r="H608" s="185">
        <f t="shared" si="19"/>
        <v>0</v>
      </c>
    </row>
    <row r="609" spans="1:8" x14ac:dyDescent="0.25">
      <c r="A609" t="str">
        <f t="shared" si="20"/>
        <v>ТУ1216 Ф62</v>
      </c>
      <c r="B609" s="118" t="s">
        <v>575</v>
      </c>
      <c r="C609" s="117">
        <v>62</v>
      </c>
      <c r="D609" s="183">
        <v>23850</v>
      </c>
      <c r="E609" s="119"/>
      <c r="F609" s="119">
        <f>'27'!E57</f>
        <v>7202399.8153999997</v>
      </c>
      <c r="G609" s="118" t="s">
        <v>542</v>
      </c>
      <c r="H609" s="185">
        <f t="shared" si="19"/>
        <v>0</v>
      </c>
    </row>
    <row r="610" spans="1:8" x14ac:dyDescent="0.25">
      <c r="A610" t="str">
        <f t="shared" si="20"/>
        <v>ТУ1216 Ф72</v>
      </c>
      <c r="B610" s="118" t="s">
        <v>575</v>
      </c>
      <c r="C610" s="117">
        <v>72</v>
      </c>
      <c r="D610" s="183">
        <v>32088</v>
      </c>
      <c r="E610" s="119"/>
      <c r="F610" s="119">
        <f>'27'!E58</f>
        <v>9783657.3949999996</v>
      </c>
      <c r="G610" s="118" t="s">
        <v>542</v>
      </c>
      <c r="H610" s="185">
        <f t="shared" si="19"/>
        <v>0</v>
      </c>
    </row>
    <row r="611" spans="1:8" x14ac:dyDescent="0.25">
      <c r="A611" t="str">
        <f t="shared" si="20"/>
        <v>ТУ1216 Ф90</v>
      </c>
      <c r="B611" s="118" t="s">
        <v>575</v>
      </c>
      <c r="C611" s="117">
        <v>90</v>
      </c>
      <c r="D611" s="183">
        <v>47540</v>
      </c>
      <c r="E611" s="119"/>
      <c r="F611" s="119">
        <f>'27'!E59</f>
        <v>16153824.894200001</v>
      </c>
      <c r="G611" s="118" t="s">
        <v>542</v>
      </c>
      <c r="H611" s="185">
        <f t="shared" si="19"/>
        <v>0</v>
      </c>
    </row>
    <row r="612" spans="1:8" x14ac:dyDescent="0.25">
      <c r="A612" t="str">
        <f t="shared" si="20"/>
        <v>ТУ1444 Ф27</v>
      </c>
      <c r="B612" s="118" t="s">
        <v>576</v>
      </c>
      <c r="C612" s="117">
        <v>27</v>
      </c>
      <c r="D612" s="183">
        <v>2688</v>
      </c>
      <c r="E612" s="119"/>
      <c r="F612" s="119"/>
      <c r="G612" s="118" t="s">
        <v>542</v>
      </c>
      <c r="H612" s="185">
        <f t="shared" si="19"/>
        <v>0</v>
      </c>
    </row>
    <row r="613" spans="1:8" x14ac:dyDescent="0.25">
      <c r="A613" t="str">
        <f t="shared" si="20"/>
        <v>ТУ1444 Ф33</v>
      </c>
      <c r="B613" s="118" t="s">
        <v>576</v>
      </c>
      <c r="C613" s="117">
        <v>33</v>
      </c>
      <c r="D613" s="183">
        <v>3988.8</v>
      </c>
      <c r="E613" s="119"/>
      <c r="F613" s="119"/>
      <c r="G613" s="118" t="s">
        <v>542</v>
      </c>
      <c r="H613" s="185">
        <f t="shared" si="19"/>
        <v>0</v>
      </c>
    </row>
    <row r="614" spans="1:8" x14ac:dyDescent="0.25">
      <c r="A614" t="str">
        <f t="shared" si="20"/>
        <v>ТУ1444 Ф42</v>
      </c>
      <c r="B614" s="118" t="s">
        <v>576</v>
      </c>
      <c r="C614" s="117">
        <v>42</v>
      </c>
      <c r="D614" s="183">
        <v>6480</v>
      </c>
      <c r="E614" s="119"/>
      <c r="F614" s="119"/>
      <c r="G614" s="118" t="s">
        <v>542</v>
      </c>
      <c r="H614" s="185">
        <f t="shared" si="19"/>
        <v>0</v>
      </c>
    </row>
    <row r="615" spans="1:8" x14ac:dyDescent="0.25">
      <c r="A615" t="str">
        <f t="shared" si="20"/>
        <v>ТУ1444 Ф46,5</v>
      </c>
      <c r="B615" s="118" t="s">
        <v>576</v>
      </c>
      <c r="C615" s="117">
        <v>46.5</v>
      </c>
      <c r="D615" s="183">
        <v>8064</v>
      </c>
      <c r="E615" s="119"/>
      <c r="F615" s="119"/>
      <c r="G615" s="118" t="s">
        <v>542</v>
      </c>
      <c r="H615" s="185">
        <f t="shared" si="19"/>
        <v>0</v>
      </c>
    </row>
    <row r="616" spans="1:8" x14ac:dyDescent="0.25">
      <c r="A616" t="str">
        <f t="shared" si="20"/>
        <v>ТУ1444 Ф50,5</v>
      </c>
      <c r="B616" s="118" t="s">
        <v>576</v>
      </c>
      <c r="C616" s="117">
        <v>50.5</v>
      </c>
      <c r="D616" s="183">
        <v>9542.4</v>
      </c>
      <c r="E616" s="119"/>
      <c r="F616" s="119"/>
      <c r="G616" s="118" t="s">
        <v>542</v>
      </c>
      <c r="H616" s="185">
        <f t="shared" si="19"/>
        <v>0</v>
      </c>
    </row>
    <row r="617" spans="1:8" x14ac:dyDescent="0.25">
      <c r="A617" t="str">
        <f t="shared" si="20"/>
        <v>ТУ1444 Ф53,5</v>
      </c>
      <c r="B617" s="118" t="s">
        <v>576</v>
      </c>
      <c r="C617" s="117">
        <v>53.5</v>
      </c>
      <c r="D617" s="183">
        <v>10704</v>
      </c>
      <c r="E617" s="119"/>
      <c r="F617" s="119"/>
      <c r="G617" s="118" t="s">
        <v>542</v>
      </c>
      <c r="H617" s="185">
        <f t="shared" si="19"/>
        <v>0</v>
      </c>
    </row>
    <row r="618" spans="1:8" x14ac:dyDescent="0.25">
      <c r="A618" t="str">
        <f t="shared" si="20"/>
        <v>ТУ1444 Ф58,5</v>
      </c>
      <c r="B618" s="118" t="s">
        <v>576</v>
      </c>
      <c r="C618" s="117">
        <v>58.5</v>
      </c>
      <c r="D618" s="183">
        <v>12480</v>
      </c>
      <c r="E618" s="119"/>
      <c r="F618" s="119"/>
      <c r="G618" s="118" t="s">
        <v>542</v>
      </c>
      <c r="H618" s="185">
        <f t="shared" si="19"/>
        <v>0</v>
      </c>
    </row>
    <row r="619" spans="1:8" x14ac:dyDescent="0.25">
      <c r="A619" t="str">
        <f t="shared" si="20"/>
        <v>ТУ1394 Ф65</v>
      </c>
      <c r="B619" s="118" t="s">
        <v>577</v>
      </c>
      <c r="C619" s="117">
        <v>65</v>
      </c>
      <c r="D619" s="183">
        <v>16250</v>
      </c>
      <c r="E619" s="119"/>
      <c r="F619" s="119" t="e">
        <f>'26'!#REF!</f>
        <v>#REF!</v>
      </c>
      <c r="G619" s="118" t="s">
        <v>538</v>
      </c>
      <c r="H619" s="185" t="e">
        <f t="shared" si="19"/>
        <v>#REF!</v>
      </c>
    </row>
    <row r="620" spans="1:8" x14ac:dyDescent="0.25">
      <c r="A620" t="str">
        <f t="shared" si="20"/>
        <v>ТУ496 Ф63</v>
      </c>
      <c r="B620" s="118" t="s">
        <v>578</v>
      </c>
      <c r="C620" s="117">
        <v>63</v>
      </c>
      <c r="D620" s="183">
        <v>17800</v>
      </c>
      <c r="E620" s="119">
        <f>'26'!D33</f>
        <v>1244972.4650000001</v>
      </c>
      <c r="F620" s="119"/>
      <c r="G620" s="118" t="s">
        <v>538</v>
      </c>
      <c r="H620" s="185">
        <f t="shared" si="19"/>
        <v>0</v>
      </c>
    </row>
    <row r="621" spans="1:8" x14ac:dyDescent="0.25">
      <c r="A621" t="s">
        <v>91</v>
      </c>
      <c r="B621" s="118" t="s">
        <v>579</v>
      </c>
      <c r="C621" s="117">
        <v>25</v>
      </c>
      <c r="D621" s="183">
        <v>2660</v>
      </c>
      <c r="E621" s="119">
        <f>'24'!D36</f>
        <v>150965.82900000003</v>
      </c>
      <c r="F621" s="119"/>
      <c r="G621" s="118" t="s">
        <v>538</v>
      </c>
      <c r="H621" s="185">
        <f t="shared" si="19"/>
        <v>0</v>
      </c>
    </row>
    <row r="622" spans="1:8" x14ac:dyDescent="0.25">
      <c r="A622" t="s">
        <v>92</v>
      </c>
      <c r="B622" s="118" t="s">
        <v>579</v>
      </c>
      <c r="C622" s="117">
        <v>28</v>
      </c>
      <c r="D622" s="183">
        <v>3380</v>
      </c>
      <c r="E622" s="119">
        <f>'24'!D37</f>
        <v>185016.67799999999</v>
      </c>
      <c r="F622" s="119"/>
      <c r="G622" s="118" t="s">
        <v>538</v>
      </c>
      <c r="H622" s="185">
        <f t="shared" si="19"/>
        <v>0</v>
      </c>
    </row>
    <row r="623" spans="1:8" x14ac:dyDescent="0.25">
      <c r="A623" t="s">
        <v>93</v>
      </c>
      <c r="B623" s="118" t="s">
        <v>579</v>
      </c>
      <c r="C623" s="117">
        <v>32</v>
      </c>
      <c r="D623" s="183">
        <v>4200</v>
      </c>
      <c r="E623" s="119">
        <f>'24'!D38</f>
        <v>216915.27900000001</v>
      </c>
      <c r="F623" s="119"/>
      <c r="G623" s="118" t="s">
        <v>538</v>
      </c>
      <c r="H623" s="185">
        <f t="shared" si="19"/>
        <v>0</v>
      </c>
    </row>
    <row r="624" spans="1:8" x14ac:dyDescent="0.25">
      <c r="A624" t="s">
        <v>94</v>
      </c>
      <c r="B624" s="118" t="s">
        <v>579</v>
      </c>
      <c r="C624" s="117">
        <v>35</v>
      </c>
      <c r="D624" s="183">
        <v>5050</v>
      </c>
      <c r="E624" s="119">
        <f>'24'!D39</f>
        <v>252872.508</v>
      </c>
      <c r="F624" s="119"/>
      <c r="G624" s="118" t="s">
        <v>538</v>
      </c>
      <c r="H624" s="185">
        <f t="shared" si="19"/>
        <v>0</v>
      </c>
    </row>
    <row r="625" spans="1:8" x14ac:dyDescent="0.25">
      <c r="A625" t="s">
        <v>95</v>
      </c>
      <c r="B625" s="118" t="s">
        <v>579</v>
      </c>
      <c r="C625" s="117">
        <v>38</v>
      </c>
      <c r="D625" s="183">
        <v>5980</v>
      </c>
      <c r="E625" s="119">
        <f>'24'!D40</f>
        <v>314639.82899999997</v>
      </c>
      <c r="F625" s="119"/>
      <c r="G625" s="118" t="s">
        <v>538</v>
      </c>
      <c r="H625" s="185">
        <f t="shared" si="19"/>
        <v>0</v>
      </c>
    </row>
    <row r="626" spans="1:8" x14ac:dyDescent="0.25">
      <c r="A626" t="s">
        <v>96</v>
      </c>
      <c r="B626" s="118" t="s">
        <v>579</v>
      </c>
      <c r="C626" s="117">
        <v>25</v>
      </c>
      <c r="D626" s="183">
        <v>2450</v>
      </c>
      <c r="E626" s="119">
        <f>'24'!D42</f>
        <v>141321.55799999999</v>
      </c>
      <c r="F626" s="119"/>
      <c r="G626" s="118" t="s">
        <v>540</v>
      </c>
      <c r="H626" s="185">
        <f t="shared" si="19"/>
        <v>0</v>
      </c>
    </row>
    <row r="627" spans="1:8" x14ac:dyDescent="0.25">
      <c r="A627" t="s">
        <v>97</v>
      </c>
      <c r="B627" s="118" t="s">
        <v>579</v>
      </c>
      <c r="C627" s="117">
        <v>28</v>
      </c>
      <c r="D627" s="183">
        <v>3000</v>
      </c>
      <c r="E627" s="119">
        <f>'24'!D43</f>
        <v>165955.01999999999</v>
      </c>
      <c r="F627" s="119"/>
      <c r="G627" s="118" t="s">
        <v>540</v>
      </c>
      <c r="H627" s="185">
        <f t="shared" si="19"/>
        <v>0</v>
      </c>
    </row>
    <row r="628" spans="1:8" x14ac:dyDescent="0.25">
      <c r="A628" t="s">
        <v>98</v>
      </c>
      <c r="B628" s="118" t="s">
        <v>579</v>
      </c>
      <c r="C628" s="117">
        <v>32</v>
      </c>
      <c r="D628" s="183">
        <v>3800</v>
      </c>
      <c r="E628" s="119">
        <f>'24'!D44</f>
        <v>207251.98200000002</v>
      </c>
      <c r="F628" s="119"/>
      <c r="G628" s="118" t="s">
        <v>540</v>
      </c>
      <c r="H628" s="185">
        <f t="shared" si="19"/>
        <v>0</v>
      </c>
    </row>
    <row r="629" spans="1:8" x14ac:dyDescent="0.25">
      <c r="A629" t="s">
        <v>99</v>
      </c>
      <c r="B629" s="118" t="s">
        <v>579</v>
      </c>
      <c r="C629" s="117">
        <v>35</v>
      </c>
      <c r="D629" s="183">
        <v>4640</v>
      </c>
      <c r="E629" s="119">
        <f>'24'!D45</f>
        <v>252508.44150000002</v>
      </c>
      <c r="F629" s="119"/>
      <c r="G629" s="118" t="s">
        <v>540</v>
      </c>
      <c r="H629" s="185">
        <f t="shared" si="19"/>
        <v>0</v>
      </c>
    </row>
    <row r="630" spans="1:8" x14ac:dyDescent="0.25">
      <c r="A630" t="s">
        <v>100</v>
      </c>
      <c r="B630" s="118" t="s">
        <v>579</v>
      </c>
      <c r="C630" s="117">
        <v>38</v>
      </c>
      <c r="D630" s="183">
        <v>5450</v>
      </c>
      <c r="E630" s="119">
        <f>'24'!D46</f>
        <v>295918.05599999998</v>
      </c>
      <c r="F630" s="119"/>
      <c r="G630" s="118" t="s">
        <v>540</v>
      </c>
      <c r="H630" s="185">
        <f t="shared" si="19"/>
        <v>0</v>
      </c>
    </row>
    <row r="631" spans="1:8" x14ac:dyDescent="0.25">
      <c r="A631" t="str">
        <f>CONCATENATE(B631," Ф",C631)</f>
        <v>ТУ002 Ф39</v>
      </c>
      <c r="B631" s="118" t="s">
        <v>645</v>
      </c>
      <c r="C631" s="118">
        <v>39</v>
      </c>
      <c r="D631" s="183">
        <v>6530</v>
      </c>
      <c r="E631" s="119">
        <f>'22'!D73</f>
        <v>369742.50599999999</v>
      </c>
      <c r="G631" s="118" t="s">
        <v>538</v>
      </c>
      <c r="H631" s="185">
        <f t="shared" si="19"/>
        <v>0</v>
      </c>
    </row>
    <row r="632" spans="1:8" x14ac:dyDescent="0.25">
      <c r="A632" t="str">
        <f>CONCATENATE(B632," Ф",C632)</f>
        <v>ТУ002 Ф45,5</v>
      </c>
      <c r="B632" s="118" t="s">
        <v>645</v>
      </c>
      <c r="C632" s="118">
        <v>45.5</v>
      </c>
      <c r="D632" s="183">
        <v>9045</v>
      </c>
      <c r="E632" s="119">
        <f>'22'!D74</f>
        <v>500302.005</v>
      </c>
      <c r="G632" s="118" t="s">
        <v>538</v>
      </c>
      <c r="H632" s="185">
        <f t="shared" si="19"/>
        <v>0</v>
      </c>
    </row>
    <row r="633" spans="1:8" x14ac:dyDescent="0.25">
      <c r="A633" t="str">
        <f>CONCATENATE(B633," Ф",C633)</f>
        <v>ТУ002 Ф52</v>
      </c>
      <c r="B633" s="118" t="s">
        <v>645</v>
      </c>
      <c r="C633" s="118">
        <v>52</v>
      </c>
      <c r="D633" s="183">
        <v>11850</v>
      </c>
      <c r="E633" s="119">
        <f>'22'!D75</f>
        <v>646165.86300000013</v>
      </c>
      <c r="G633" s="118" t="s">
        <v>538</v>
      </c>
      <c r="H633" s="185">
        <f t="shared" si="19"/>
        <v>0</v>
      </c>
    </row>
    <row r="634" spans="1:8" x14ac:dyDescent="0.25">
      <c r="A634" t="str">
        <f>CONCATENATE(B634," Ф",C634)</f>
        <v>ТУ002 Ф57</v>
      </c>
      <c r="B634" s="118" t="s">
        <v>645</v>
      </c>
      <c r="C634" s="118">
        <v>57</v>
      </c>
      <c r="D634" s="183">
        <v>13900</v>
      </c>
      <c r="E634" s="119">
        <f>'22'!D76</f>
        <v>752535.42</v>
      </c>
      <c r="G634" s="118" t="s">
        <v>538</v>
      </c>
      <c r="H634" s="185">
        <f t="shared" si="19"/>
        <v>0</v>
      </c>
    </row>
    <row r="635" spans="1:8" x14ac:dyDescent="0.25">
      <c r="A635" t="str">
        <f>CONCATENATE(B635," Ф",C635)</f>
        <v>ТУ002 Ф64</v>
      </c>
      <c r="B635" s="118" t="s">
        <v>645</v>
      </c>
      <c r="C635" s="118">
        <v>64</v>
      </c>
      <c r="D635" s="183">
        <v>17148</v>
      </c>
      <c r="E635" s="119">
        <f>'22'!D77</f>
        <v>921706.31700000004</v>
      </c>
      <c r="G635" s="118" t="s">
        <v>538</v>
      </c>
      <c r="H635" s="185">
        <f t="shared" si="19"/>
        <v>0</v>
      </c>
    </row>
    <row r="636" spans="1:8" x14ac:dyDescent="0.25">
      <c r="A636" t="s">
        <v>649</v>
      </c>
      <c r="B636" s="118" t="s">
        <v>646</v>
      </c>
      <c r="C636" s="118">
        <v>25</v>
      </c>
      <c r="D636" s="183">
        <v>2556.1999735688901</v>
      </c>
      <c r="E636" s="119">
        <f>'24'!D55</f>
        <v>147976.23750000002</v>
      </c>
      <c r="G636" s="118" t="s">
        <v>647</v>
      </c>
      <c r="H636" s="185">
        <f t="shared" si="19"/>
        <v>0</v>
      </c>
    </row>
    <row r="637" spans="1:8" x14ac:dyDescent="0.25">
      <c r="A637" t="s">
        <v>650</v>
      </c>
      <c r="B637" s="118" t="s">
        <v>646</v>
      </c>
      <c r="C637" s="118">
        <v>28</v>
      </c>
      <c r="D637" s="183">
        <v>3192.2</v>
      </c>
      <c r="E637" s="119">
        <f>'24'!D56</f>
        <v>178231.47300000003</v>
      </c>
      <c r="G637" s="118" t="s">
        <v>647</v>
      </c>
      <c r="H637" s="185">
        <f t="shared" si="19"/>
        <v>0</v>
      </c>
    </row>
    <row r="638" spans="1:8" x14ac:dyDescent="0.25">
      <c r="A638" t="s">
        <v>651</v>
      </c>
      <c r="B638" s="118" t="s">
        <v>646</v>
      </c>
      <c r="C638" s="118">
        <v>32</v>
      </c>
      <c r="D638" s="183">
        <v>4229</v>
      </c>
      <c r="E638" s="119">
        <f>'24'!D57</f>
        <v>222780.8835</v>
      </c>
      <c r="G638" s="118" t="s">
        <v>647</v>
      </c>
      <c r="H638" s="185">
        <f t="shared" si="19"/>
        <v>0</v>
      </c>
    </row>
    <row r="639" spans="1:8" x14ac:dyDescent="0.25">
      <c r="A639" t="s">
        <v>652</v>
      </c>
      <c r="B639" s="118" t="s">
        <v>646</v>
      </c>
      <c r="C639" s="118">
        <v>25</v>
      </c>
      <c r="D639" s="183">
        <v>2556.1999735688901</v>
      </c>
      <c r="E639" s="119">
        <f>'24'!D61</f>
        <v>160761.405</v>
      </c>
      <c r="G639" s="118" t="s">
        <v>648</v>
      </c>
      <c r="H639" s="185">
        <f t="shared" si="19"/>
        <v>0</v>
      </c>
    </row>
    <row r="640" spans="1:8" x14ac:dyDescent="0.25">
      <c r="A640" t="s">
        <v>653</v>
      </c>
      <c r="B640" s="118" t="s">
        <v>646</v>
      </c>
      <c r="C640" s="118">
        <v>28</v>
      </c>
      <c r="D640" s="183">
        <v>3192.2</v>
      </c>
      <c r="E640" s="119">
        <f>'24'!D62</f>
        <v>193630.68900000001</v>
      </c>
      <c r="G640" s="118" t="s">
        <v>648</v>
      </c>
      <c r="H640" s="185">
        <f t="shared" si="19"/>
        <v>0</v>
      </c>
    </row>
    <row r="641" spans="1:8" x14ac:dyDescent="0.25">
      <c r="A641" t="s">
        <v>654</v>
      </c>
      <c r="B641" s="118" t="s">
        <v>646</v>
      </c>
      <c r="C641" s="118">
        <v>32</v>
      </c>
      <c r="D641" s="183">
        <v>4229</v>
      </c>
      <c r="E641" s="119">
        <f>'24'!D63</f>
        <v>242029.1685</v>
      </c>
      <c r="G641" s="118" t="s">
        <v>648</v>
      </c>
      <c r="H641" s="185">
        <f t="shared" si="19"/>
        <v>0</v>
      </c>
    </row>
  </sheetData>
  <autoFilter ref="A2:G630"/>
  <phoneticPr fontId="26" type="noConversion"/>
  <printOptions horizontalCentered="1"/>
  <pageMargins left="0.39370078740157483" right="0.39370078740157483" top="0.19685039370078741" bottom="0" header="0" footer="0"/>
  <pageSetup paperSize="9" scale="58" fitToHeight="6" orientation="portrait" r:id="rId1"/>
  <headerFooter alignWithMargins="0"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01389" r:id="rId4" name="CommandButton1">
          <controlPr defaultSize="0" autoLine="0" r:id="rId5">
            <anchor moveWithCells="1">
              <from>
                <xdr:col>8</xdr:col>
                <xdr:colOff>266700</xdr:colOff>
                <xdr:row>7</xdr:row>
                <xdr:rowOff>0</xdr:rowOff>
              </from>
              <to>
                <xdr:col>10</xdr:col>
                <xdr:colOff>190500</xdr:colOff>
                <xdr:row>8</xdr:row>
                <xdr:rowOff>106680</xdr:rowOff>
              </to>
            </anchor>
          </controlPr>
        </control>
      </mc:Choice>
      <mc:Fallback>
        <control shapeId="101389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J58"/>
  <sheetViews>
    <sheetView view="pageBreakPreview" zoomScale="85" zoomScaleNormal="75" zoomScaleSheetLayoutView="75" workbookViewId="0">
      <selection activeCell="H21" sqref="H21"/>
    </sheetView>
  </sheetViews>
  <sheetFormatPr defaultColWidth="8.88671875" defaultRowHeight="13.2" x14ac:dyDescent="0.25"/>
  <cols>
    <col min="1" max="1" width="5.5546875" style="5" customWidth="1"/>
    <col min="2" max="2" width="12.33203125" style="3" customWidth="1"/>
    <col min="3" max="3" width="13.33203125" style="3" customWidth="1"/>
    <col min="4" max="4" width="13" style="3" customWidth="1"/>
    <col min="5" max="5" width="13" style="3" bestFit="1" customWidth="1"/>
    <col min="6" max="6" width="13" style="3" customWidth="1"/>
    <col min="7" max="7" width="13.88671875" style="3" bestFit="1" customWidth="1"/>
    <col min="8" max="8" width="13" style="3" customWidth="1"/>
    <col min="9" max="9" width="13.33203125" style="3" customWidth="1"/>
    <col min="10" max="10" width="16.44140625" style="3" bestFit="1" customWidth="1"/>
    <col min="11" max="16384" width="8.88671875" style="3"/>
  </cols>
  <sheetData>
    <row r="1" spans="1:10" x14ac:dyDescent="0.25">
      <c r="A1" s="137"/>
      <c r="I1" s="4">
        <v>41122</v>
      </c>
      <c r="J1" s="54" t="s">
        <v>466</v>
      </c>
    </row>
    <row r="2" spans="1:10" ht="42" customHeight="1" x14ac:dyDescent="0.25">
      <c r="A2" s="30"/>
      <c r="B2" s="542" t="s">
        <v>766</v>
      </c>
      <c r="C2" s="543"/>
      <c r="D2" s="543"/>
      <c r="E2" s="543"/>
      <c r="F2" s="544"/>
      <c r="G2" s="535" t="s">
        <v>430</v>
      </c>
      <c r="H2" s="535"/>
      <c r="I2" s="535"/>
    </row>
    <row r="3" spans="1:10" ht="13.2" customHeight="1" x14ac:dyDescent="0.25">
      <c r="A3" s="11"/>
      <c r="B3" s="539" t="s">
        <v>104</v>
      </c>
      <c r="C3" s="534" t="s">
        <v>276</v>
      </c>
      <c r="D3" s="534"/>
      <c r="E3" s="534"/>
      <c r="F3" s="534"/>
      <c r="G3" s="534"/>
      <c r="H3" s="534"/>
      <c r="I3" s="534"/>
    </row>
    <row r="4" spans="1:10" x14ac:dyDescent="0.25">
      <c r="A4" s="11"/>
      <c r="B4" s="539"/>
      <c r="C4" s="536" t="s">
        <v>262</v>
      </c>
      <c r="D4" s="537"/>
      <c r="E4" s="537"/>
      <c r="F4" s="537"/>
      <c r="G4" s="537"/>
      <c r="H4" s="537" t="s">
        <v>632</v>
      </c>
      <c r="I4" s="538"/>
    </row>
    <row r="5" spans="1:10" x14ac:dyDescent="0.25">
      <c r="A5" s="11"/>
      <c r="B5" s="539"/>
      <c r="C5" s="534" t="s">
        <v>637</v>
      </c>
      <c r="D5" s="534"/>
      <c r="E5" s="545" t="s">
        <v>634</v>
      </c>
      <c r="F5" s="546"/>
      <c r="G5" s="444" t="s">
        <v>635</v>
      </c>
      <c r="H5" s="525" t="s">
        <v>636</v>
      </c>
      <c r="I5" s="524" t="s">
        <v>633</v>
      </c>
      <c r="J5" s="24"/>
    </row>
    <row r="6" spans="1:10" ht="26.4" customHeight="1" x14ac:dyDescent="0.25">
      <c r="A6" s="9"/>
      <c r="B6" s="539"/>
      <c r="C6" s="526" t="s">
        <v>723</v>
      </c>
      <c r="D6" s="526" t="s">
        <v>722</v>
      </c>
      <c r="E6" s="526" t="s">
        <v>723</v>
      </c>
      <c r="F6" s="526" t="s">
        <v>722</v>
      </c>
      <c r="G6" s="443" t="s">
        <v>818</v>
      </c>
      <c r="H6" s="540" t="s">
        <v>742</v>
      </c>
      <c r="I6" s="541"/>
      <c r="J6" s="24"/>
    </row>
    <row r="7" spans="1:10" x14ac:dyDescent="0.25">
      <c r="A7" s="133"/>
      <c r="B7" s="248">
        <v>0.5</v>
      </c>
      <c r="C7" s="247">
        <f>58462.65*1.02</f>
        <v>59631.903000000006</v>
      </c>
      <c r="D7" s="247">
        <f>58962.65*1.02</f>
        <v>60141.903000000006</v>
      </c>
      <c r="E7" s="247">
        <f>58962.65*1.02</f>
        <v>60141.903000000006</v>
      </c>
      <c r="F7" s="247">
        <f>59462.65*1.02</f>
        <v>60651.903000000006</v>
      </c>
      <c r="G7" s="500">
        <f>61473.22*1.02</f>
        <v>62702.684400000006</v>
      </c>
      <c r="H7" s="442">
        <v>0</v>
      </c>
      <c r="I7" s="247">
        <f>76189.28*1.02</f>
        <v>77713.065600000002</v>
      </c>
      <c r="J7" s="24"/>
    </row>
    <row r="8" spans="1:10" x14ac:dyDescent="0.25">
      <c r="A8" s="133"/>
      <c r="B8" s="248">
        <v>0.6</v>
      </c>
      <c r="C8" s="247">
        <f>49924.63*1.02</f>
        <v>50923.122599999995</v>
      </c>
      <c r="D8" s="247">
        <f>50424.63*1.02</f>
        <v>51433.122599999995</v>
      </c>
      <c r="E8" s="247">
        <f>50424.63*1.02</f>
        <v>51433.122599999995</v>
      </c>
      <c r="F8" s="247">
        <f>50924.63*1.02</f>
        <v>51943.122599999995</v>
      </c>
      <c r="G8" s="500">
        <f>52510.58*1.02</f>
        <v>53560.791600000004</v>
      </c>
      <c r="H8" s="442">
        <v>0</v>
      </c>
      <c r="I8" s="247">
        <f>67946.61*1.02</f>
        <v>69305.542199999996</v>
      </c>
      <c r="J8" s="24"/>
    </row>
    <row r="9" spans="1:10" x14ac:dyDescent="0.25">
      <c r="A9" s="133"/>
      <c r="B9" s="248">
        <v>0.7</v>
      </c>
      <c r="C9" s="247">
        <f>45811.81*1.02</f>
        <v>46728.046199999997</v>
      </c>
      <c r="D9" s="247">
        <f>46311.81*1.02</f>
        <v>47238.046199999997</v>
      </c>
      <c r="E9" s="247">
        <f>46311.81*1.02</f>
        <v>47238.046199999997</v>
      </c>
      <c r="F9" s="247">
        <f>46811.81*1.02</f>
        <v>47748.046199999997</v>
      </c>
      <c r="G9" s="500">
        <f>48236.91*1.02</f>
        <v>49201.648200000003</v>
      </c>
      <c r="H9" s="442">
        <v>0</v>
      </c>
      <c r="I9" s="247">
        <f>62946.3*1.02</f>
        <v>64205.226000000002</v>
      </c>
      <c r="J9" s="24"/>
    </row>
    <row r="10" spans="1:10" x14ac:dyDescent="0.25">
      <c r="A10" s="133"/>
      <c r="B10" s="248">
        <v>0.8</v>
      </c>
      <c r="C10" s="247">
        <f>43338.91*1.02</f>
        <v>44205.688200000004</v>
      </c>
      <c r="D10" s="247">
        <f>43838.91*1.02</f>
        <v>44715.688200000004</v>
      </c>
      <c r="E10" s="247">
        <f>43838.91*1.02</f>
        <v>44715.688200000004</v>
      </c>
      <c r="F10" s="247">
        <f>44338.91*1.02</f>
        <v>45225.688200000004</v>
      </c>
      <c r="G10" s="500">
        <f>45672.7*1.02</f>
        <v>46586.153999999995</v>
      </c>
      <c r="H10" s="442">
        <v>0</v>
      </c>
      <c r="I10" s="247">
        <f>59457.45*1.02</f>
        <v>60646.598999999995</v>
      </c>
      <c r="J10" s="24"/>
    </row>
    <row r="11" spans="1:10" x14ac:dyDescent="0.25">
      <c r="A11" s="133"/>
      <c r="B11" s="248">
        <v>0.9</v>
      </c>
      <c r="C11" s="247">
        <f>41544.88*1.02</f>
        <v>42375.777600000001</v>
      </c>
      <c r="D11" s="247">
        <f>42044.88*1.02</f>
        <v>42885.777600000001</v>
      </c>
      <c r="E11" s="247">
        <f>42044.88*1.02</f>
        <v>42885.777600000001</v>
      </c>
      <c r="F11" s="247">
        <f>42544.88*1.02</f>
        <v>43395.777600000001</v>
      </c>
      <c r="G11" s="500">
        <f>43721.33*1.02</f>
        <v>44595.756600000001</v>
      </c>
      <c r="H11" s="442">
        <v>0</v>
      </c>
      <c r="I11" s="247">
        <f>55673.13*1.02</f>
        <v>56786.592599999996</v>
      </c>
      <c r="J11" s="24"/>
    </row>
    <row r="12" spans="1:10" x14ac:dyDescent="0.25">
      <c r="A12" s="133"/>
      <c r="B12" s="248">
        <v>1</v>
      </c>
      <c r="C12" s="247">
        <f>36753.05*1.02</f>
        <v>37488.111000000004</v>
      </c>
      <c r="D12" s="247">
        <f>37253.05*1.02</f>
        <v>37998.111000000004</v>
      </c>
      <c r="E12" s="247">
        <f>37253.05*1.02</f>
        <v>37998.111000000004</v>
      </c>
      <c r="F12" s="247">
        <f>37753.05*1.02</f>
        <v>38508.111000000004</v>
      </c>
      <c r="G12" s="500">
        <f>38761.84*1.02</f>
        <v>39537.076799999995</v>
      </c>
      <c r="H12" s="442">
        <v>0</v>
      </c>
      <c r="I12" s="247">
        <f>51218.31*1.02</f>
        <v>52242.676200000002</v>
      </c>
      <c r="J12" s="24"/>
    </row>
    <row r="13" spans="1:10" x14ac:dyDescent="0.25">
      <c r="A13" s="133"/>
      <c r="B13" s="248">
        <v>1.2</v>
      </c>
      <c r="C13" s="247">
        <f>34283.54*1.02</f>
        <v>34969.210800000001</v>
      </c>
      <c r="D13" s="247">
        <f>34783.54*1.02</f>
        <v>35479.210800000001</v>
      </c>
      <c r="E13" s="247">
        <f>34783.54*1.02</f>
        <v>35479.210800000001</v>
      </c>
      <c r="F13" s="247">
        <f>35283.54*1.02</f>
        <v>35989.210800000001</v>
      </c>
      <c r="G13" s="500">
        <f>36270.63*1.02</f>
        <v>36996.042600000001</v>
      </c>
      <c r="H13" s="442">
        <v>0</v>
      </c>
      <c r="I13" s="247">
        <f>45081.58*1.02</f>
        <v>45983.211600000002</v>
      </c>
      <c r="J13" s="24"/>
    </row>
    <row r="14" spans="1:10" x14ac:dyDescent="0.25">
      <c r="A14" s="133"/>
      <c r="B14" s="248">
        <v>1.4</v>
      </c>
      <c r="C14" s="247">
        <f>33467.02*1.02</f>
        <v>34136.360399999998</v>
      </c>
      <c r="D14" s="247">
        <f>33967.02*1.02</f>
        <v>34646.360399999998</v>
      </c>
      <c r="E14" s="247">
        <f>33583.55*1.02</f>
        <v>34255.221000000005</v>
      </c>
      <c r="F14" s="247">
        <f>34083.55*1.02</f>
        <v>34765.221000000005</v>
      </c>
      <c r="G14" s="500">
        <f>34608.49*1.02</f>
        <v>35300.659800000001</v>
      </c>
      <c r="H14" s="442">
        <f>41302.86+500</f>
        <v>41802.86</v>
      </c>
      <c r="I14" s="247">
        <f>40997.29*1.02</f>
        <v>41817.235800000002</v>
      </c>
      <c r="J14" s="24"/>
    </row>
    <row r="15" spans="1:10" x14ac:dyDescent="0.25">
      <c r="A15" s="133"/>
      <c r="B15" s="248">
        <v>1.6</v>
      </c>
      <c r="C15" s="247">
        <f>32771.88*1.02</f>
        <v>33427.317599999995</v>
      </c>
      <c r="D15" s="247">
        <f>33271.88*1.02</f>
        <v>33937.317599999995</v>
      </c>
      <c r="E15" s="247">
        <f>33286.95*1.02</f>
        <v>33952.688999999998</v>
      </c>
      <c r="F15" s="247">
        <f>33786.95*1.02</f>
        <v>34462.688999999998</v>
      </c>
      <c r="G15" s="500">
        <f>34303.45*1.02</f>
        <v>34989.519</v>
      </c>
      <c r="H15" s="442">
        <f>38223.64+500</f>
        <v>38723.64</v>
      </c>
      <c r="I15" s="247">
        <f>39406.54*1.02</f>
        <v>40194.6708</v>
      </c>
      <c r="J15" s="24"/>
    </row>
    <row r="16" spans="1:10" x14ac:dyDescent="0.25">
      <c r="A16" s="133"/>
      <c r="B16" s="248">
        <v>1.8</v>
      </c>
      <c r="C16" s="247">
        <f>32483.87*1.02</f>
        <v>33133.547400000003</v>
      </c>
      <c r="D16" s="247">
        <f>32983.87*1.02</f>
        <v>33643.547400000003</v>
      </c>
      <c r="E16" s="247">
        <f>33020.02*1.02</f>
        <v>33680.420399999995</v>
      </c>
      <c r="F16" s="247">
        <f>33520.02*1.02</f>
        <v>34190.420399999995</v>
      </c>
      <c r="G16" s="500">
        <f>34018.05*1.02</f>
        <v>34698.411</v>
      </c>
      <c r="H16" s="442">
        <f>37907.98+500</f>
        <v>38407.980000000003</v>
      </c>
      <c r="I16" s="247">
        <f>38141.49*1.02</f>
        <v>38904.319799999997</v>
      </c>
      <c r="J16" s="24"/>
    </row>
    <row r="17" spans="1:10" x14ac:dyDescent="0.25">
      <c r="A17" s="133"/>
      <c r="B17" s="248" t="s">
        <v>443</v>
      </c>
      <c r="C17" s="247">
        <f>32358.7*1.02</f>
        <v>33005.874000000003</v>
      </c>
      <c r="D17" s="247">
        <f>32858.7*1.02</f>
        <v>33515.873999999996</v>
      </c>
      <c r="E17" s="247">
        <f>33019.53*1.02</f>
        <v>33679.920599999998</v>
      </c>
      <c r="F17" s="247">
        <f>33519.53*1.02</f>
        <v>34189.920599999998</v>
      </c>
      <c r="G17" s="500">
        <f>34017.74*1.02</f>
        <v>34698.094799999999</v>
      </c>
      <c r="H17" s="442">
        <f>37907.98+500</f>
        <v>38407.980000000003</v>
      </c>
      <c r="I17" s="247">
        <f>38141.49*1.02</f>
        <v>38904.319799999997</v>
      </c>
      <c r="J17" s="24"/>
    </row>
    <row r="18" spans="1:10" x14ac:dyDescent="0.25">
      <c r="A18" s="133"/>
      <c r="B18" s="248" t="s">
        <v>369</v>
      </c>
      <c r="C18" s="247">
        <f>29344.59*1.02</f>
        <v>29931.481800000001</v>
      </c>
      <c r="D18" s="247">
        <f>29844.59*1.02</f>
        <v>30441.481800000001</v>
      </c>
      <c r="E18" s="247">
        <f>30740.84*1.02</f>
        <v>31355.656800000001</v>
      </c>
      <c r="F18" s="247">
        <f>31240.84*1.02</f>
        <v>31865.656800000001</v>
      </c>
      <c r="G18" s="500">
        <f>31857.5*1.02</f>
        <v>32494.65</v>
      </c>
      <c r="H18" s="442">
        <f>35768.6+500</f>
        <v>36268.6</v>
      </c>
      <c r="I18" s="247">
        <f>37576.37*1.02</f>
        <v>38327.897400000002</v>
      </c>
      <c r="J18" s="24"/>
    </row>
    <row r="19" spans="1:10" x14ac:dyDescent="0.25">
      <c r="A19" s="133"/>
      <c r="B19" s="248" t="s">
        <v>525</v>
      </c>
      <c r="C19" s="247">
        <f>28743.71*1.02</f>
        <v>29318.584200000001</v>
      </c>
      <c r="D19" s="247">
        <f>29243.71*1.02</f>
        <v>29828.584200000001</v>
      </c>
      <c r="E19" s="247">
        <f>30403.61*1.02</f>
        <v>31011.682200000003</v>
      </c>
      <c r="F19" s="247">
        <f>30903.61*1.02</f>
        <v>31521.682200000003</v>
      </c>
      <c r="G19" s="500">
        <f>31532.48*1.02</f>
        <v>32163.1296</v>
      </c>
      <c r="H19" s="442">
        <f>35020.58+500</f>
        <v>35520.58</v>
      </c>
      <c r="I19" s="247">
        <f>36430.78*1.02</f>
        <v>37159.395599999996</v>
      </c>
      <c r="J19" s="24"/>
    </row>
    <row r="20" spans="1:10" x14ac:dyDescent="0.25">
      <c r="B20" s="248" t="s">
        <v>686</v>
      </c>
      <c r="C20" s="247">
        <f>28349.15*1.02</f>
        <v>28916.133000000002</v>
      </c>
      <c r="D20" s="247">
        <f>29243.71*1.02</f>
        <v>29828.584200000001</v>
      </c>
      <c r="E20" s="247">
        <f>30172.96*1.02</f>
        <v>30776.4192</v>
      </c>
      <c r="F20" s="247">
        <f>30672.96*1.02</f>
        <v>31286.4192</v>
      </c>
      <c r="G20" s="500">
        <f>31290.7*1.02</f>
        <v>31916.514000000003</v>
      </c>
      <c r="H20" s="442">
        <f>35020.58+500</f>
        <v>35520.58</v>
      </c>
      <c r="I20" s="247">
        <f>36430.78*1.02</f>
        <v>37159.395599999996</v>
      </c>
      <c r="J20" s="24"/>
    </row>
    <row r="21" spans="1:10" x14ac:dyDescent="0.25">
      <c r="B21" s="248" t="s">
        <v>687</v>
      </c>
      <c r="C21" s="247">
        <f>28349.15*1.02</f>
        <v>28916.133000000002</v>
      </c>
      <c r="D21" s="247">
        <v>0</v>
      </c>
      <c r="E21" s="247">
        <f>30172.96*1.02</f>
        <v>30776.4192</v>
      </c>
      <c r="F21" s="247">
        <f>30672.96*1.02</f>
        <v>31286.4192</v>
      </c>
      <c r="G21" s="500">
        <f>31290.7*1.02</f>
        <v>31916.514000000003</v>
      </c>
      <c r="H21" s="442">
        <v>0</v>
      </c>
      <c r="I21" s="247">
        <v>0</v>
      </c>
      <c r="J21" s="24"/>
    </row>
    <row r="22" spans="1:10" x14ac:dyDescent="0.25">
      <c r="B22" s="9"/>
      <c r="C22" s="11"/>
      <c r="D22" s="11"/>
      <c r="E22" s="408"/>
      <c r="F22" s="408"/>
      <c r="G22" s="408"/>
      <c r="H22" s="11"/>
      <c r="I22" s="5"/>
    </row>
    <row r="24" spans="1:10" x14ac:dyDescent="0.25">
      <c r="B24" s="64" t="s">
        <v>296</v>
      </c>
      <c r="C24" s="47"/>
      <c r="D24" s="47"/>
      <c r="E24" s="47"/>
      <c r="F24" s="47"/>
    </row>
    <row r="25" spans="1:10" x14ac:dyDescent="0.25">
      <c r="B25" s="549" t="s">
        <v>300</v>
      </c>
      <c r="C25" s="549"/>
      <c r="D25" s="249">
        <v>0.1</v>
      </c>
    </row>
    <row r="26" spans="1:10" x14ac:dyDescent="0.25">
      <c r="B26" s="549" t="s">
        <v>54</v>
      </c>
      <c r="C26" s="549"/>
      <c r="D26" s="249" t="s">
        <v>465</v>
      </c>
    </row>
    <row r="27" spans="1:10" x14ac:dyDescent="0.25">
      <c r="B27" s="550" t="s">
        <v>74</v>
      </c>
      <c r="C27" s="550"/>
      <c r="D27" s="249" t="s">
        <v>776</v>
      </c>
    </row>
    <row r="28" spans="1:10" ht="16.2" customHeight="1" x14ac:dyDescent="0.25">
      <c r="B28" s="550" t="s">
        <v>800</v>
      </c>
      <c r="C28" s="550"/>
      <c r="D28" s="249" t="s">
        <v>801</v>
      </c>
    </row>
    <row r="30" spans="1:10" ht="13.2" customHeight="1" x14ac:dyDescent="0.25">
      <c r="C30" s="4">
        <v>41122</v>
      </c>
      <c r="D30" s="28"/>
      <c r="H30" s="24"/>
      <c r="I30" s="4">
        <v>41122</v>
      </c>
    </row>
    <row r="31" spans="1:10" ht="42" customHeight="1" x14ac:dyDescent="0.25">
      <c r="B31" s="548" t="s">
        <v>670</v>
      </c>
      <c r="C31" s="548"/>
      <c r="D31" s="192"/>
      <c r="E31" s="24"/>
      <c r="F31" s="24"/>
      <c r="H31" s="520" t="s">
        <v>402</v>
      </c>
      <c r="I31" s="252" t="s">
        <v>403</v>
      </c>
    </row>
    <row r="32" spans="1:10" ht="13.2" customHeight="1" x14ac:dyDescent="0.25">
      <c r="B32" s="251" t="s">
        <v>104</v>
      </c>
      <c r="C32" s="251" t="s">
        <v>276</v>
      </c>
      <c r="D32" s="193"/>
      <c r="E32" s="24"/>
      <c r="F32" s="24"/>
      <c r="H32" s="522" t="s">
        <v>104</v>
      </c>
      <c r="I32" s="522" t="s">
        <v>276</v>
      </c>
    </row>
    <row r="33" spans="2:10" ht="15" x14ac:dyDescent="0.25">
      <c r="B33" s="519">
        <v>0.9</v>
      </c>
      <c r="C33" s="445">
        <f>47748.58*1.02</f>
        <v>48703.551600000006</v>
      </c>
      <c r="D33" s="133"/>
      <c r="E33" s="24"/>
      <c r="F33" s="24"/>
      <c r="H33" s="253" t="s">
        <v>404</v>
      </c>
      <c r="I33" s="501">
        <f>32565*1.02</f>
        <v>33216.300000000003</v>
      </c>
    </row>
    <row r="34" spans="2:10" ht="15" x14ac:dyDescent="0.25">
      <c r="B34" s="519">
        <v>1.2</v>
      </c>
      <c r="C34" s="445">
        <f>37680.28*1.02</f>
        <v>38433.885600000001</v>
      </c>
      <c r="D34" s="133"/>
      <c r="E34" s="24"/>
      <c r="F34" s="24"/>
      <c r="H34" s="253" t="s">
        <v>405</v>
      </c>
      <c r="I34" s="501">
        <f>32485*1.02</f>
        <v>33134.699999999997</v>
      </c>
    </row>
    <row r="35" spans="2:10" x14ac:dyDescent="0.25">
      <c r="B35" s="519">
        <v>1.5</v>
      </c>
      <c r="C35" s="445">
        <f>36342.01*1.02</f>
        <v>37068.850200000001</v>
      </c>
      <c r="D35" s="133"/>
      <c r="E35" s="24"/>
      <c r="F35" s="24"/>
      <c r="I35" s="106"/>
    </row>
    <row r="36" spans="2:10" x14ac:dyDescent="0.25">
      <c r="B36" s="519">
        <v>1.8</v>
      </c>
      <c r="C36" s="445">
        <f>35441.4*1.02</f>
        <v>36150.228000000003</v>
      </c>
      <c r="D36" s="133"/>
      <c r="E36" s="24"/>
      <c r="F36" s="24"/>
      <c r="I36" s="106"/>
    </row>
    <row r="37" spans="2:10" ht="13.2" customHeight="1" x14ac:dyDescent="0.25">
      <c r="B37" s="11"/>
      <c r="C37" s="133"/>
      <c r="D37" s="133"/>
      <c r="E37" s="24"/>
      <c r="F37" s="24"/>
      <c r="I37" s="106"/>
    </row>
    <row r="38" spans="2:10" ht="13.2" customHeight="1" x14ac:dyDescent="0.25">
      <c r="B38" s="8"/>
      <c r="C38" s="4">
        <v>41122</v>
      </c>
      <c r="D38" s="4"/>
      <c r="E38" s="21"/>
      <c r="F38" s="21"/>
      <c r="H38" s="24"/>
      <c r="I38" s="24"/>
      <c r="J38" s="24"/>
    </row>
    <row r="39" spans="2:10" ht="40.950000000000003" customHeight="1" x14ac:dyDescent="0.25">
      <c r="B39" s="547" t="s">
        <v>660</v>
      </c>
      <c r="C39" s="547"/>
      <c r="D39" s="194"/>
      <c r="E39" s="24"/>
      <c r="F39" s="24"/>
      <c r="G39" s="24"/>
      <c r="H39" s="24"/>
      <c r="I39" s="24"/>
      <c r="J39" s="24"/>
    </row>
    <row r="40" spans="2:10" ht="26.4" x14ac:dyDescent="0.25">
      <c r="B40" s="523" t="s">
        <v>104</v>
      </c>
      <c r="C40" s="521" t="s">
        <v>802</v>
      </c>
      <c r="D40" s="129"/>
      <c r="E40" s="24"/>
      <c r="F40" s="24"/>
      <c r="G40" s="24"/>
      <c r="H40" s="24"/>
      <c r="I40" s="24"/>
      <c r="J40" s="24"/>
    </row>
    <row r="41" spans="2:10" ht="13.2" customHeight="1" x14ac:dyDescent="0.25">
      <c r="B41" s="250">
        <v>3</v>
      </c>
      <c r="C41" s="445">
        <f>22590+500</f>
        <v>23090</v>
      </c>
      <c r="D41" s="195"/>
      <c r="E41" s="24"/>
      <c r="F41" s="24"/>
      <c r="G41" s="24"/>
      <c r="H41" s="24"/>
      <c r="I41" s="24"/>
      <c r="J41" s="24"/>
    </row>
    <row r="42" spans="2:10" ht="13.2" customHeight="1" x14ac:dyDescent="0.25">
      <c r="B42" s="250">
        <v>4</v>
      </c>
      <c r="C42" s="445">
        <f>22274+500</f>
        <v>22774</v>
      </c>
      <c r="D42" s="195"/>
      <c r="E42" s="400"/>
      <c r="F42" s="400"/>
      <c r="G42" s="24"/>
      <c r="H42" s="24"/>
      <c r="I42" s="24"/>
      <c r="J42" s="24"/>
    </row>
    <row r="43" spans="2:10" ht="13.2" customHeight="1" x14ac:dyDescent="0.25">
      <c r="B43" s="250">
        <v>5</v>
      </c>
      <c r="C43" s="445">
        <f>22274+500</f>
        <v>22774</v>
      </c>
      <c r="D43" s="195"/>
      <c r="E43" s="24"/>
      <c r="F43" s="24"/>
      <c r="G43" s="24"/>
      <c r="I43" s="106"/>
      <c r="J43" s="24"/>
    </row>
    <row r="44" spans="2:10" x14ac:dyDescent="0.25">
      <c r="B44" s="24"/>
      <c r="C44" s="24"/>
      <c r="D44" s="24"/>
      <c r="E44" s="24"/>
      <c r="F44" s="24"/>
      <c r="G44" s="24"/>
      <c r="I44" s="106"/>
    </row>
    <row r="45" spans="2:10" x14ac:dyDescent="0.25">
      <c r="B45" s="70"/>
      <c r="E45" s="24"/>
      <c r="F45" s="24"/>
      <c r="I45" s="106"/>
    </row>
    <row r="46" spans="2:10" x14ac:dyDescent="0.25">
      <c r="B46" s="70" t="s">
        <v>584</v>
      </c>
    </row>
    <row r="47" spans="2:10" x14ac:dyDescent="0.25">
      <c r="B47" s="70" t="s">
        <v>585</v>
      </c>
    </row>
    <row r="48" spans="2:10" x14ac:dyDescent="0.25">
      <c r="G48" s="129"/>
      <c r="H48" s="129"/>
    </row>
    <row r="57" spans="1:1" x14ac:dyDescent="0.25">
      <c r="A57" s="138"/>
    </row>
    <row r="58" spans="1:1" x14ac:dyDescent="0.25">
      <c r="A58" s="138"/>
    </row>
  </sheetData>
  <mergeCells count="15">
    <mergeCell ref="B39:C39"/>
    <mergeCell ref="B31:C31"/>
    <mergeCell ref="B25:C25"/>
    <mergeCell ref="B26:C26"/>
    <mergeCell ref="B27:C27"/>
    <mergeCell ref="B28:C28"/>
    <mergeCell ref="C3:I3"/>
    <mergeCell ref="G2:I2"/>
    <mergeCell ref="C4:G4"/>
    <mergeCell ref="H4:I4"/>
    <mergeCell ref="B3:B6"/>
    <mergeCell ref="C5:D5"/>
    <mergeCell ref="H6:I6"/>
    <mergeCell ref="B2:F2"/>
    <mergeCell ref="E5:F5"/>
  </mergeCells>
  <phoneticPr fontId="0" type="noConversion"/>
  <hyperlinks>
    <hyperlink ref="J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M50"/>
  <sheetViews>
    <sheetView view="pageBreakPreview" zoomScale="85" zoomScaleNormal="100" workbookViewId="0"/>
  </sheetViews>
  <sheetFormatPr defaultColWidth="8.88671875" defaultRowHeight="13.2" x14ac:dyDescent="0.25"/>
  <cols>
    <col min="1" max="1" width="8.88671875" style="75"/>
    <col min="2" max="2" width="14.6640625" style="75" customWidth="1"/>
    <col min="3" max="3" width="14.33203125" style="75" customWidth="1"/>
    <col min="4" max="4" width="14.6640625" style="75" bestFit="1" customWidth="1"/>
    <col min="5" max="5" width="8.6640625" style="75" customWidth="1"/>
    <col min="6" max="6" width="11.33203125" style="75" customWidth="1"/>
    <col min="7" max="7" width="12.6640625" style="75" customWidth="1"/>
    <col min="8" max="8" width="13.5546875" style="75" bestFit="1" customWidth="1"/>
    <col min="9" max="9" width="12.88671875" style="75" customWidth="1"/>
    <col min="10" max="16384" width="8.88671875" style="75"/>
  </cols>
  <sheetData>
    <row r="1" spans="2:9" x14ac:dyDescent="0.25">
      <c r="B1" s="6"/>
      <c r="C1" s="10"/>
      <c r="D1" s="28">
        <v>40940</v>
      </c>
      <c r="F1" s="10"/>
      <c r="G1" s="10"/>
      <c r="H1" s="28">
        <v>41091</v>
      </c>
      <c r="I1" s="54" t="s">
        <v>466</v>
      </c>
    </row>
    <row r="2" spans="2:9" ht="53.4" customHeight="1" x14ac:dyDescent="0.25">
      <c r="B2" s="539" t="s">
        <v>254</v>
      </c>
      <c r="C2" s="539"/>
      <c r="D2" s="468" t="s">
        <v>255</v>
      </c>
      <c r="F2" s="562" t="s">
        <v>666</v>
      </c>
      <c r="G2" s="562"/>
      <c r="H2" s="255" t="s">
        <v>665</v>
      </c>
    </row>
    <row r="3" spans="2:9" ht="13.2" customHeight="1" x14ac:dyDescent="0.25">
      <c r="B3" s="563" t="s">
        <v>104</v>
      </c>
      <c r="C3" s="563"/>
      <c r="D3" s="539" t="s">
        <v>498</v>
      </c>
      <c r="F3" s="564" t="s">
        <v>104</v>
      </c>
      <c r="G3" s="564"/>
      <c r="H3" s="256" t="s">
        <v>276</v>
      </c>
    </row>
    <row r="4" spans="2:9" ht="13.2" customHeight="1" x14ac:dyDescent="0.25">
      <c r="B4" s="563"/>
      <c r="C4" s="563"/>
      <c r="D4" s="539"/>
      <c r="F4" s="559">
        <v>1.2</v>
      </c>
      <c r="G4" s="559"/>
      <c r="H4" s="502">
        <f>47181.68+1900</f>
        <v>49081.68</v>
      </c>
      <c r="I4" s="152"/>
    </row>
    <row r="5" spans="2:9" ht="15" customHeight="1" x14ac:dyDescent="0.25">
      <c r="B5" s="555">
        <v>0.5</v>
      </c>
      <c r="C5" s="555"/>
      <c r="D5" s="254">
        <f>88759.93+500</f>
        <v>89259.93</v>
      </c>
      <c r="E5" s="109"/>
      <c r="F5" s="559">
        <v>1.4</v>
      </c>
      <c r="G5" s="559"/>
      <c r="H5" s="502">
        <f>45022.56+1900</f>
        <v>46922.559999999998</v>
      </c>
      <c r="I5" s="152"/>
    </row>
    <row r="6" spans="2:9" x14ac:dyDescent="0.25">
      <c r="B6" s="555">
        <v>0.6</v>
      </c>
      <c r="C6" s="555"/>
      <c r="D6" s="254">
        <f>80891.36+500</f>
        <v>81391.360000000001</v>
      </c>
      <c r="E6" s="109"/>
      <c r="F6" s="559">
        <v>1.6</v>
      </c>
      <c r="G6" s="559"/>
      <c r="H6" s="502">
        <f>40048.67+1900</f>
        <v>41948.67</v>
      </c>
    </row>
    <row r="7" spans="2:9" x14ac:dyDescent="0.25">
      <c r="B7" s="555">
        <v>0.7</v>
      </c>
      <c r="C7" s="555"/>
      <c r="D7" s="254">
        <f>69911.75+500</f>
        <v>70411.75</v>
      </c>
      <c r="E7" s="109"/>
      <c r="F7" s="559" t="s">
        <v>593</v>
      </c>
      <c r="G7" s="559"/>
      <c r="H7" s="502">
        <f>38758.32+1900</f>
        <v>40658.32</v>
      </c>
    </row>
    <row r="8" spans="2:9" x14ac:dyDescent="0.25">
      <c r="B8" s="555">
        <v>0.8</v>
      </c>
      <c r="C8" s="555"/>
      <c r="D8" s="254">
        <f>65999.13+500</f>
        <v>66499.13</v>
      </c>
      <c r="E8" s="109"/>
      <c r="F8" s="559" t="s">
        <v>369</v>
      </c>
      <c r="G8" s="559"/>
      <c r="H8" s="502">
        <f>38181.89+1900</f>
        <v>40081.89</v>
      </c>
    </row>
    <row r="9" spans="2:9" ht="13.5" customHeight="1" x14ac:dyDescent="0.25">
      <c r="B9" s="555">
        <v>0.9</v>
      </c>
      <c r="C9" s="555"/>
      <c r="D9" s="254">
        <f>62740.78+500</f>
        <v>63240.78</v>
      </c>
      <c r="E9" s="109"/>
      <c r="F9" s="559">
        <v>4</v>
      </c>
      <c r="G9" s="559"/>
      <c r="H9" s="502">
        <f>37003.39+1900</f>
        <v>38903.39</v>
      </c>
    </row>
    <row r="10" spans="2:9" ht="12.75" customHeight="1" x14ac:dyDescent="0.25">
      <c r="B10" s="555">
        <v>1</v>
      </c>
      <c r="C10" s="555"/>
      <c r="D10" s="254">
        <f>60284.02+500</f>
        <v>60784.02</v>
      </c>
      <c r="E10" s="109"/>
      <c r="F10" s="187"/>
      <c r="G10" s="187"/>
      <c r="H10" s="188"/>
    </row>
    <row r="11" spans="2:9" ht="13.95" customHeight="1" x14ac:dyDescent="0.25">
      <c r="B11" s="555">
        <v>1.2</v>
      </c>
      <c r="C11" s="555"/>
      <c r="D11" s="254">
        <f>56721.25+500</f>
        <v>57221.25</v>
      </c>
      <c r="E11" s="109"/>
      <c r="F11" s="187"/>
      <c r="G11" s="187"/>
      <c r="H11" s="188"/>
    </row>
    <row r="12" spans="2:9" ht="13.2" customHeight="1" x14ac:dyDescent="0.25">
      <c r="B12" s="555">
        <v>1.6</v>
      </c>
      <c r="C12" s="555"/>
      <c r="D12" s="254">
        <f>55220+500</f>
        <v>55720</v>
      </c>
      <c r="E12" s="109"/>
      <c r="F12" s="187"/>
      <c r="G12" s="187"/>
      <c r="H12" s="188"/>
    </row>
    <row r="13" spans="2:9" ht="13.2" customHeight="1" x14ac:dyDescent="0.25">
      <c r="B13" s="24"/>
      <c r="C13" s="24"/>
      <c r="D13" s="24"/>
      <c r="E13" s="109"/>
    </row>
    <row r="14" spans="2:9" ht="13.2" customHeight="1" x14ac:dyDescent="0.25">
      <c r="B14" s="20"/>
      <c r="C14" s="20"/>
      <c r="D14" s="21"/>
      <c r="E14" s="109"/>
    </row>
    <row r="15" spans="2:9" x14ac:dyDescent="0.25">
      <c r="B15" s="10"/>
      <c r="C15" s="10"/>
      <c r="D15" s="28">
        <v>40940</v>
      </c>
      <c r="F15" s="10"/>
      <c r="G15" s="10"/>
      <c r="H15" s="28">
        <v>40940</v>
      </c>
    </row>
    <row r="16" spans="2:9" ht="13.95" customHeight="1" x14ac:dyDescent="0.25">
      <c r="B16" s="539" t="s">
        <v>302</v>
      </c>
      <c r="C16" s="539"/>
      <c r="D16" s="560" t="s">
        <v>258</v>
      </c>
      <c r="F16" s="561" t="s">
        <v>308</v>
      </c>
      <c r="G16" s="561"/>
      <c r="H16" s="560" t="s">
        <v>257</v>
      </c>
    </row>
    <row r="17" spans="2:13" ht="13.2" customHeight="1" x14ac:dyDescent="0.25">
      <c r="B17" s="539"/>
      <c r="C17" s="539"/>
      <c r="D17" s="560"/>
      <c r="F17" s="561"/>
      <c r="G17" s="561"/>
      <c r="H17" s="560"/>
    </row>
    <row r="18" spans="2:13" ht="26.4" customHeight="1" x14ac:dyDescent="0.25">
      <c r="B18" s="539"/>
      <c r="C18" s="539"/>
      <c r="D18" s="560"/>
      <c r="F18" s="561"/>
      <c r="G18" s="561"/>
      <c r="H18" s="560"/>
    </row>
    <row r="19" spans="2:13" ht="20.399999999999999" customHeight="1" x14ac:dyDescent="0.25">
      <c r="B19" s="539" t="s">
        <v>104</v>
      </c>
      <c r="C19" s="539"/>
      <c r="D19" s="465" t="s">
        <v>498</v>
      </c>
      <c r="F19" s="563" t="s">
        <v>104</v>
      </c>
      <c r="G19" s="563"/>
      <c r="H19" s="465" t="s">
        <v>276</v>
      </c>
    </row>
    <row r="20" spans="2:13" ht="13.2" customHeight="1" x14ac:dyDescent="0.25">
      <c r="B20" s="556">
        <v>1.4</v>
      </c>
      <c r="C20" s="556"/>
      <c r="D20" s="254">
        <f>88953.03+500</f>
        <v>89453.03</v>
      </c>
      <c r="F20" s="555">
        <v>1.5</v>
      </c>
      <c r="G20" s="555"/>
      <c r="H20" s="254">
        <f>75099.54+500</f>
        <v>75599.539999999994</v>
      </c>
      <c r="I20" s="134"/>
    </row>
    <row r="21" spans="2:13" x14ac:dyDescent="0.25">
      <c r="B21" s="556">
        <v>2</v>
      </c>
      <c r="C21" s="556"/>
      <c r="D21" s="254">
        <f>76024.31+500</f>
        <v>76524.31</v>
      </c>
      <c r="F21" s="555">
        <v>2</v>
      </c>
      <c r="G21" s="555"/>
      <c r="H21" s="254">
        <f>68856.5+500</f>
        <v>69356.5</v>
      </c>
      <c r="I21" s="21"/>
    </row>
    <row r="22" spans="2:13" x14ac:dyDescent="0.25">
      <c r="B22" s="556">
        <v>2.5</v>
      </c>
      <c r="C22" s="556"/>
      <c r="D22" s="254">
        <f>64678.21+500</f>
        <v>65178.21</v>
      </c>
      <c r="F22" s="555">
        <v>2.5</v>
      </c>
      <c r="G22" s="555"/>
      <c r="H22" s="254">
        <f>60215.3+500</f>
        <v>60715.3</v>
      </c>
      <c r="I22" s="21"/>
    </row>
    <row r="23" spans="2:13" x14ac:dyDescent="0.25">
      <c r="F23" s="555">
        <v>3</v>
      </c>
      <c r="G23" s="555"/>
      <c r="H23" s="254">
        <f>58658.54+500</f>
        <v>59158.54</v>
      </c>
      <c r="I23" s="21"/>
    </row>
    <row r="24" spans="2:13" x14ac:dyDescent="0.25">
      <c r="F24" s="555">
        <v>4</v>
      </c>
      <c r="G24" s="555"/>
      <c r="H24" s="254">
        <f>55323.41+500</f>
        <v>55823.41</v>
      </c>
      <c r="I24" s="21"/>
    </row>
    <row r="25" spans="2:13" x14ac:dyDescent="0.25">
      <c r="I25" s="21"/>
    </row>
    <row r="26" spans="2:13" x14ac:dyDescent="0.25">
      <c r="B26" s="131"/>
      <c r="C26" s="132"/>
      <c r="D26" s="28">
        <v>41091</v>
      </c>
      <c r="F26" s="24"/>
      <c r="G26" s="24"/>
      <c r="H26" s="28">
        <v>40940</v>
      </c>
      <c r="I26" s="134"/>
    </row>
    <row r="27" spans="2:13" ht="25.95" customHeight="1" x14ac:dyDescent="0.25">
      <c r="B27" s="551" t="s">
        <v>622</v>
      </c>
      <c r="C27" s="551"/>
      <c r="D27" s="471" t="s">
        <v>612</v>
      </c>
      <c r="F27" s="558" t="s">
        <v>661</v>
      </c>
      <c r="G27" s="558"/>
      <c r="H27" s="558"/>
    </row>
    <row r="28" spans="2:13" ht="13.2" customHeight="1" x14ac:dyDescent="0.25">
      <c r="B28" s="553" t="s">
        <v>613</v>
      </c>
      <c r="C28" s="551" t="s">
        <v>614</v>
      </c>
      <c r="D28" s="551"/>
      <c r="F28" s="554" t="s">
        <v>104</v>
      </c>
      <c r="G28" s="557" t="s">
        <v>276</v>
      </c>
      <c r="H28" s="557"/>
    </row>
    <row r="29" spans="2:13" ht="13.2" customHeight="1" x14ac:dyDescent="0.25">
      <c r="B29" s="553"/>
      <c r="C29" s="469" t="s">
        <v>615</v>
      </c>
      <c r="D29" s="469" t="s">
        <v>616</v>
      </c>
      <c r="F29" s="554"/>
      <c r="G29" s="470" t="s">
        <v>663</v>
      </c>
      <c r="H29" s="470" t="s">
        <v>662</v>
      </c>
    </row>
    <row r="30" spans="2:13" s="10" customFormat="1" ht="13.2" customHeight="1" x14ac:dyDescent="0.25">
      <c r="B30" s="469" t="s">
        <v>617</v>
      </c>
      <c r="C30" s="257">
        <f>32372.47+1000</f>
        <v>33372.47</v>
      </c>
      <c r="D30" s="503">
        <f>40116.67+1000</f>
        <v>41116.67</v>
      </c>
      <c r="F30" s="470">
        <v>0.5</v>
      </c>
      <c r="G30" s="258">
        <f>111367.63+500</f>
        <v>111867.63</v>
      </c>
      <c r="H30" s="258">
        <f>71511.75+500</f>
        <v>72011.75</v>
      </c>
      <c r="I30" s="24"/>
      <c r="J30" s="24"/>
      <c r="K30" s="24"/>
      <c r="L30" s="24"/>
      <c r="M30" s="24"/>
    </row>
    <row r="31" spans="2:13" s="10" customFormat="1" ht="13.2" customHeight="1" x14ac:dyDescent="0.25">
      <c r="F31" s="470">
        <v>0.7</v>
      </c>
      <c r="G31" s="258">
        <f>94367+500</f>
        <v>94867</v>
      </c>
      <c r="H31" s="258"/>
      <c r="I31" s="24"/>
      <c r="J31" s="24"/>
      <c r="K31" s="24"/>
      <c r="L31" s="24"/>
      <c r="M31" s="24"/>
    </row>
    <row r="32" spans="2:13" s="10" customFormat="1" ht="13.2" customHeight="1" x14ac:dyDescent="0.25">
      <c r="D32" s="28">
        <v>41091</v>
      </c>
      <c r="F32" s="470">
        <v>0.8</v>
      </c>
      <c r="G32" s="258">
        <f>82532.07+500</f>
        <v>83032.070000000007</v>
      </c>
      <c r="H32" s="258">
        <f>50886.54+500</f>
        <v>51386.54</v>
      </c>
      <c r="I32" s="24"/>
      <c r="J32" s="24"/>
      <c r="K32" s="24"/>
      <c r="L32" s="24"/>
      <c r="M32" s="24"/>
    </row>
    <row r="33" spans="2:13" s="10" customFormat="1" ht="13.2" customHeight="1" x14ac:dyDescent="0.25">
      <c r="B33" s="551" t="s">
        <v>763</v>
      </c>
      <c r="C33" s="551"/>
      <c r="D33" s="552" t="s">
        <v>762</v>
      </c>
      <c r="F33" s="259">
        <v>1</v>
      </c>
      <c r="G33" s="258">
        <f>74010.5+500</f>
        <v>74510.5</v>
      </c>
      <c r="H33" s="258">
        <f>45614.98+500</f>
        <v>46114.98</v>
      </c>
      <c r="I33" s="24"/>
      <c r="J33" s="24"/>
      <c r="K33" s="24"/>
      <c r="L33" s="24"/>
      <c r="M33" s="24"/>
    </row>
    <row r="34" spans="2:13" s="10" customFormat="1" ht="13.2" customHeight="1" x14ac:dyDescent="0.25">
      <c r="B34" s="551"/>
      <c r="C34" s="551"/>
      <c r="D34" s="552"/>
      <c r="E34" s="24"/>
      <c r="F34" s="470">
        <v>1.2</v>
      </c>
      <c r="G34" s="258">
        <f>66071.85+500</f>
        <v>66571.850000000006</v>
      </c>
      <c r="H34" s="258">
        <f>44083.25+500</f>
        <v>44583.25</v>
      </c>
      <c r="I34" s="24"/>
      <c r="J34" s="24"/>
      <c r="K34" s="24"/>
      <c r="L34" s="24"/>
      <c r="M34" s="24"/>
    </row>
    <row r="35" spans="2:13" s="10" customFormat="1" ht="13.2" customHeight="1" x14ac:dyDescent="0.25">
      <c r="B35" s="553" t="s">
        <v>613</v>
      </c>
      <c r="C35" s="551" t="s">
        <v>614</v>
      </c>
      <c r="D35" s="551"/>
      <c r="E35" s="24"/>
      <c r="F35" s="260">
        <v>1.4</v>
      </c>
      <c r="G35" s="258">
        <f>62062.01+500</f>
        <v>62562.01</v>
      </c>
      <c r="H35" s="258">
        <f>43210+500</f>
        <v>43710</v>
      </c>
      <c r="I35" s="24"/>
      <c r="J35" s="24"/>
      <c r="K35" s="24"/>
      <c r="L35" s="24"/>
      <c r="M35" s="24"/>
    </row>
    <row r="36" spans="2:13" s="10" customFormat="1" ht="13.2" customHeight="1" x14ac:dyDescent="0.25">
      <c r="B36" s="553"/>
      <c r="C36" s="469"/>
      <c r="D36" s="469" t="s">
        <v>616</v>
      </c>
      <c r="E36" s="24"/>
      <c r="F36" s="470" t="s">
        <v>664</v>
      </c>
      <c r="G36" s="258">
        <f>57819.99+500</f>
        <v>58319.99</v>
      </c>
      <c r="H36" s="258">
        <f>42000+500</f>
        <v>42500</v>
      </c>
      <c r="I36" s="24"/>
      <c r="J36" s="24"/>
      <c r="K36" s="24"/>
      <c r="L36" s="24"/>
      <c r="M36" s="24"/>
    </row>
    <row r="37" spans="2:13" s="10" customFormat="1" ht="13.2" customHeight="1" x14ac:dyDescent="0.25">
      <c r="B37" s="469" t="s">
        <v>764</v>
      </c>
      <c r="C37" s="257"/>
      <c r="D37" s="503">
        <f>45000+1000</f>
        <v>46000</v>
      </c>
      <c r="E37" s="24"/>
      <c r="F37" s="470">
        <v>1.8</v>
      </c>
      <c r="G37" s="258">
        <f>55507.46+500</f>
        <v>56007.46</v>
      </c>
      <c r="H37" s="258">
        <v>0</v>
      </c>
      <c r="I37" s="24"/>
      <c r="J37" s="24"/>
      <c r="K37" s="24"/>
      <c r="L37" s="24"/>
      <c r="M37" s="24"/>
    </row>
    <row r="38" spans="2:13" s="10" customFormat="1" ht="13.2" customHeight="1" x14ac:dyDescent="0.25">
      <c r="E38" s="24"/>
      <c r="F38" s="260">
        <v>2</v>
      </c>
      <c r="G38" s="258">
        <f>53313.02+500</f>
        <v>53813.02</v>
      </c>
      <c r="H38" s="258">
        <f>40790.23+500</f>
        <v>41290.230000000003</v>
      </c>
      <c r="I38" s="24"/>
      <c r="J38" s="24"/>
      <c r="K38" s="24"/>
      <c r="L38" s="24"/>
      <c r="M38" s="24"/>
    </row>
    <row r="39" spans="2:13" s="10" customFormat="1" ht="13.2" customHeight="1" x14ac:dyDescent="0.25">
      <c r="B39" s="24"/>
      <c r="C39" s="24"/>
      <c r="D39" s="3"/>
      <c r="F39" s="470">
        <v>2.2000000000000002</v>
      </c>
      <c r="G39" s="258">
        <f>49677.28+500</f>
        <v>50177.279999999999</v>
      </c>
      <c r="H39" s="258">
        <f>40714.31+500</f>
        <v>41214.31</v>
      </c>
      <c r="I39" s="24"/>
      <c r="J39" s="24"/>
      <c r="K39" s="24"/>
      <c r="L39" s="24"/>
      <c r="M39" s="24"/>
    </row>
    <row r="40" spans="2:13" s="10" customFormat="1" x14ac:dyDescent="0.25">
      <c r="B40" s="24"/>
      <c r="C40" s="24"/>
      <c r="D40" s="24"/>
      <c r="E40" s="128"/>
      <c r="F40" s="470">
        <v>2.6</v>
      </c>
      <c r="G40" s="258">
        <f>46892.56+500</f>
        <v>47392.56</v>
      </c>
      <c r="H40" s="258">
        <f>40487.82+500</f>
        <v>40987.82</v>
      </c>
      <c r="I40" s="24"/>
      <c r="J40" s="24"/>
      <c r="K40" s="24"/>
      <c r="L40" s="24"/>
      <c r="M40" s="24"/>
    </row>
    <row r="41" spans="2:13" s="10" customFormat="1" x14ac:dyDescent="0.25">
      <c r="B41" s="24"/>
      <c r="C41" s="24"/>
      <c r="D41" s="24"/>
      <c r="F41" s="470">
        <v>3</v>
      </c>
      <c r="G41" s="258">
        <f>45867.76+500</f>
        <v>46367.76</v>
      </c>
      <c r="H41" s="258">
        <f>40276.47+500</f>
        <v>40776.47</v>
      </c>
      <c r="I41" s="24"/>
      <c r="J41" s="24"/>
      <c r="K41" s="24"/>
      <c r="L41" s="24"/>
      <c r="M41" s="24"/>
    </row>
    <row r="42" spans="2:13" s="10" customFormat="1" x14ac:dyDescent="0.25">
      <c r="B42" s="24"/>
      <c r="C42" s="24"/>
      <c r="D42" s="24"/>
      <c r="F42" s="259">
        <v>4</v>
      </c>
      <c r="G42" s="258">
        <f>43562.65+500</f>
        <v>44062.65</v>
      </c>
      <c r="H42" s="258">
        <f>39839.22+500</f>
        <v>40339.22</v>
      </c>
    </row>
    <row r="43" spans="2:13" ht="13.2" customHeight="1" x14ac:dyDescent="0.25">
      <c r="B43" s="24"/>
      <c r="C43" s="24"/>
      <c r="D43" s="24"/>
      <c r="F43" s="24"/>
      <c r="G43" s="24"/>
      <c r="H43" s="24"/>
    </row>
    <row r="44" spans="2:13" x14ac:dyDescent="0.25">
      <c r="B44" s="24"/>
      <c r="C44" s="24"/>
      <c r="D44" s="24"/>
    </row>
    <row r="45" spans="2:13" x14ac:dyDescent="0.25">
      <c r="B45" s="24"/>
      <c r="C45" s="24"/>
    </row>
    <row r="46" spans="2:13" x14ac:dyDescent="0.25">
      <c r="B46" s="24"/>
      <c r="C46" s="24"/>
    </row>
    <row r="47" spans="2:13" x14ac:dyDescent="0.25">
      <c r="D47" s="10"/>
    </row>
    <row r="48" spans="2:13" x14ac:dyDescent="0.25">
      <c r="D48" s="10"/>
    </row>
    <row r="49" spans="2:3" x14ac:dyDescent="0.25">
      <c r="B49" s="10"/>
      <c r="C49" s="10"/>
    </row>
    <row r="50" spans="2:3" x14ac:dyDescent="0.25">
      <c r="B50" s="10"/>
      <c r="C50" s="10"/>
    </row>
  </sheetData>
  <mergeCells count="43">
    <mergeCell ref="F2:G2"/>
    <mergeCell ref="B28:B29"/>
    <mergeCell ref="B3:C4"/>
    <mergeCell ref="D3:D4"/>
    <mergeCell ref="B12:C12"/>
    <mergeCell ref="F24:G24"/>
    <mergeCell ref="F19:G19"/>
    <mergeCell ref="F20:G20"/>
    <mergeCell ref="B2:C2"/>
    <mergeCell ref="B8:C8"/>
    <mergeCell ref="B7:C7"/>
    <mergeCell ref="B6:C6"/>
    <mergeCell ref="B5:C5"/>
    <mergeCell ref="B11:C11"/>
    <mergeCell ref="F3:G3"/>
    <mergeCell ref="F4:G4"/>
    <mergeCell ref="F5:G5"/>
    <mergeCell ref="H16:H18"/>
    <mergeCell ref="B20:C20"/>
    <mergeCell ref="B19:C19"/>
    <mergeCell ref="B16:C18"/>
    <mergeCell ref="D16:D18"/>
    <mergeCell ref="F6:G6"/>
    <mergeCell ref="F7:G7"/>
    <mergeCell ref="F8:G8"/>
    <mergeCell ref="F9:G9"/>
    <mergeCell ref="F16:G18"/>
    <mergeCell ref="B10:C10"/>
    <mergeCell ref="B9:C9"/>
    <mergeCell ref="F22:G22"/>
    <mergeCell ref="F23:G23"/>
    <mergeCell ref="F21:G21"/>
    <mergeCell ref="C28:D28"/>
    <mergeCell ref="B21:C21"/>
    <mergeCell ref="B22:C22"/>
    <mergeCell ref="B27:C27"/>
    <mergeCell ref="G28:H28"/>
    <mergeCell ref="F27:H27"/>
    <mergeCell ref="B33:C34"/>
    <mergeCell ref="D33:D34"/>
    <mergeCell ref="C35:D35"/>
    <mergeCell ref="B35:B36"/>
    <mergeCell ref="F28:F29"/>
  </mergeCells>
  <phoneticPr fontId="26" type="noConversion"/>
  <conditionalFormatting sqref="E40">
    <cfRule type="cellIs" dxfId="1" priority="1" stopIfTrue="1" operator="equal">
      <formula>0</formula>
    </cfRule>
  </conditionalFormatting>
  <hyperlinks>
    <hyperlink ref="I1" location="'2'!A1" display="Оглавление"/>
  </hyperlinks>
  <printOptions horizontalCentered="1"/>
  <pageMargins left="0.59055118110236227" right="0.55118110236220474" top="0.9055118110236221" bottom="0.82677165354330717" header="0.51181102362204722" footer="0.51181102362204722"/>
  <pageSetup paperSize="9" scale="85" orientation="portrait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55"/>
  <sheetViews>
    <sheetView view="pageBreakPreview" zoomScale="85" zoomScaleNormal="75" workbookViewId="0">
      <pane ySplit="6" topLeftCell="A7" activePane="bottomLeft" state="frozen"/>
      <selection pane="bottomLeft" activeCell="A7" sqref="A7"/>
    </sheetView>
  </sheetViews>
  <sheetFormatPr defaultColWidth="8.88671875" defaultRowHeight="13.2" x14ac:dyDescent="0.25"/>
  <cols>
    <col min="1" max="1" width="10.5546875" style="24" customWidth="1"/>
    <col min="2" max="2" width="19.6640625" style="24" customWidth="1"/>
    <col min="3" max="3" width="16.5546875" style="24" customWidth="1"/>
    <col min="4" max="4" width="16" style="24" customWidth="1"/>
    <col min="5" max="6" width="16.5546875" style="24" customWidth="1"/>
    <col min="7" max="8" width="9.6640625" style="24" bestFit="1" customWidth="1"/>
    <col min="9" max="16384" width="8.88671875" style="24"/>
  </cols>
  <sheetData>
    <row r="1" spans="1:11" s="3" customFormat="1" ht="13.95" customHeight="1" x14ac:dyDescent="0.25">
      <c r="A1" s="24"/>
      <c r="E1" s="4">
        <v>41122</v>
      </c>
      <c r="F1" s="54" t="s">
        <v>466</v>
      </c>
    </row>
    <row r="2" spans="1:11" s="3" customFormat="1" ht="13.95" customHeight="1" x14ac:dyDescent="0.25">
      <c r="A2" s="24"/>
      <c r="B2" s="568" t="s">
        <v>526</v>
      </c>
      <c r="C2" s="568"/>
      <c r="D2" s="568"/>
      <c r="E2" s="24"/>
      <c r="F2" s="24"/>
    </row>
    <row r="3" spans="1:11" s="102" customFormat="1" ht="24.6" customHeight="1" x14ac:dyDescent="0.25">
      <c r="A3" s="24"/>
      <c r="B3" s="565" t="s">
        <v>519</v>
      </c>
      <c r="C3" s="565"/>
      <c r="D3" s="565"/>
      <c r="E3" s="24"/>
      <c r="F3" s="24"/>
    </row>
    <row r="4" spans="1:11" s="102" customFormat="1" x14ac:dyDescent="0.25">
      <c r="A4" s="24"/>
      <c r="B4" s="565" t="s">
        <v>104</v>
      </c>
      <c r="C4" s="566" t="s">
        <v>642</v>
      </c>
      <c r="D4" s="566"/>
      <c r="E4" s="24"/>
      <c r="F4" s="24"/>
    </row>
    <row r="5" spans="1:11" s="3" customFormat="1" ht="33.6" customHeight="1" x14ac:dyDescent="0.25">
      <c r="A5" s="24"/>
      <c r="B5" s="565"/>
      <c r="C5" s="516" t="s">
        <v>485</v>
      </c>
      <c r="D5" s="516" t="s">
        <v>484</v>
      </c>
      <c r="E5" s="24"/>
      <c r="F5" s="24"/>
    </row>
    <row r="6" spans="1:11" s="3" customFormat="1" x14ac:dyDescent="0.25">
      <c r="A6" s="24"/>
      <c r="B6" s="565"/>
      <c r="C6" s="567" t="s">
        <v>276</v>
      </c>
      <c r="D6" s="567"/>
      <c r="E6" s="24"/>
      <c r="F6" s="24"/>
    </row>
    <row r="7" spans="1:11" s="3" customFormat="1" x14ac:dyDescent="0.25">
      <c r="A7" s="24"/>
      <c r="B7" s="514">
        <v>0.2</v>
      </c>
      <c r="C7" s="430">
        <f>158110.72*1.05</f>
        <v>166016.25599999999</v>
      </c>
      <c r="D7" s="430">
        <f>124507.25*1.05</f>
        <v>130732.6125</v>
      </c>
      <c r="E7" s="24"/>
      <c r="F7" s="24"/>
      <c r="G7" s="24"/>
      <c r="H7" s="24"/>
      <c r="I7" s="24"/>
      <c r="J7" s="24"/>
      <c r="K7" s="24"/>
    </row>
    <row r="8" spans="1:11" s="3" customFormat="1" x14ac:dyDescent="0.25">
      <c r="A8" s="24"/>
      <c r="B8" s="514">
        <v>0.22</v>
      </c>
      <c r="C8" s="430">
        <f>146443.03*1.05</f>
        <v>153765.18150000001</v>
      </c>
      <c r="D8" s="430">
        <f>115640.05*1.05</f>
        <v>121422.05250000001</v>
      </c>
      <c r="E8" s="24"/>
      <c r="F8" s="24"/>
      <c r="G8" s="24"/>
      <c r="H8" s="24"/>
      <c r="I8" s="24"/>
      <c r="J8" s="24"/>
      <c r="K8" s="24"/>
    </row>
    <row r="9" spans="1:11" s="3" customFormat="1" x14ac:dyDescent="0.25">
      <c r="A9" s="24"/>
      <c r="B9" s="514">
        <v>0.25</v>
      </c>
      <c r="C9" s="430">
        <f>133374.45*1.05</f>
        <v>140043.17250000002</v>
      </c>
      <c r="D9" s="430">
        <f>105373.19*1.05</f>
        <v>110641.84950000001</v>
      </c>
      <c r="E9" s="24"/>
      <c r="F9" s="24"/>
      <c r="G9" s="24"/>
      <c r="H9" s="24"/>
      <c r="I9" s="24"/>
      <c r="J9" s="24"/>
      <c r="K9" s="24"/>
    </row>
    <row r="10" spans="1:11" s="3" customFormat="1" x14ac:dyDescent="0.25">
      <c r="A10" s="24"/>
      <c r="B10" s="514">
        <v>0.3</v>
      </c>
      <c r="C10" s="430">
        <f>124959.45*1.05</f>
        <v>131207.42250000002</v>
      </c>
      <c r="D10" s="430">
        <f>98539.7*1.05</f>
        <v>103466.685</v>
      </c>
      <c r="E10" s="24"/>
      <c r="F10" s="24"/>
      <c r="G10" s="24"/>
      <c r="H10" s="24"/>
      <c r="I10" s="24"/>
      <c r="J10" s="24"/>
      <c r="K10" s="24"/>
    </row>
    <row r="11" spans="1:11" s="3" customFormat="1" x14ac:dyDescent="0.25">
      <c r="A11" s="24"/>
      <c r="B11" s="514">
        <v>0.32</v>
      </c>
      <c r="C11" s="430">
        <f>123846.14*1.05</f>
        <v>130038.447</v>
      </c>
      <c r="D11" s="430">
        <f>96918.87*1.05</f>
        <v>101764.8135</v>
      </c>
      <c r="E11" s="24"/>
      <c r="F11" s="24"/>
      <c r="G11" s="24"/>
      <c r="H11" s="24"/>
      <c r="I11" s="24"/>
      <c r="J11" s="24"/>
      <c r="K11" s="24"/>
    </row>
    <row r="12" spans="1:11" s="3" customFormat="1" x14ac:dyDescent="0.25">
      <c r="A12" s="24"/>
      <c r="B12" s="514">
        <v>0.35</v>
      </c>
      <c r="C12" s="430">
        <f>118994.73*1.05</f>
        <v>124944.46649999999</v>
      </c>
      <c r="D12" s="430">
        <f>93188.16*1.05</f>
        <v>97847.568000000014</v>
      </c>
      <c r="E12" s="24"/>
      <c r="F12" s="24"/>
      <c r="G12" s="24"/>
      <c r="H12" s="24"/>
      <c r="I12" s="24"/>
      <c r="J12" s="24"/>
      <c r="K12" s="24"/>
    </row>
    <row r="13" spans="1:11" s="3" customFormat="1" x14ac:dyDescent="0.25">
      <c r="A13" s="24"/>
      <c r="B13" s="514">
        <v>0.36</v>
      </c>
      <c r="C13" s="430">
        <f>111044.23*1.05</f>
        <v>116596.4415</v>
      </c>
      <c r="D13" s="430">
        <f>87220.98*1.05</f>
        <v>91582.028999999995</v>
      </c>
      <c r="E13" s="24"/>
      <c r="F13" s="24"/>
      <c r="G13" s="24"/>
      <c r="H13" s="24"/>
      <c r="I13" s="24"/>
      <c r="J13" s="24"/>
      <c r="K13" s="24"/>
    </row>
    <row r="14" spans="1:11" s="3" customFormat="1" x14ac:dyDescent="0.25">
      <c r="A14" s="24"/>
      <c r="B14" s="514">
        <v>0.4</v>
      </c>
      <c r="C14" s="430">
        <f>98673.64*1.05</f>
        <v>103607.322</v>
      </c>
      <c r="D14" s="430">
        <f>77081.94*1.05</f>
        <v>80936.037000000011</v>
      </c>
      <c r="E14" s="24"/>
      <c r="F14" s="24"/>
      <c r="G14" s="24"/>
      <c r="H14" s="24"/>
      <c r="I14" s="24"/>
      <c r="J14" s="24"/>
      <c r="K14" s="24"/>
    </row>
    <row r="15" spans="1:11" s="3" customFormat="1" x14ac:dyDescent="0.25">
      <c r="A15" s="24"/>
      <c r="B15" s="514">
        <v>0.45</v>
      </c>
      <c r="C15" s="430">
        <f>94021.3*1.05</f>
        <v>98722.365000000005</v>
      </c>
      <c r="D15" s="430">
        <f>73499.91*1.05</f>
        <v>77174.905500000008</v>
      </c>
      <c r="E15" s="24"/>
      <c r="F15" s="24"/>
      <c r="G15" s="24"/>
      <c r="H15" s="24"/>
      <c r="I15" s="24"/>
      <c r="J15" s="24"/>
      <c r="K15" s="24"/>
    </row>
    <row r="16" spans="1:11" s="3" customFormat="1" x14ac:dyDescent="0.25">
      <c r="A16" s="24"/>
      <c r="B16" s="514">
        <v>0.5</v>
      </c>
      <c r="C16" s="430">
        <f>91059.83*1.05</f>
        <v>95612.821500000005</v>
      </c>
      <c r="D16" s="430">
        <f>71353.15*1.05</f>
        <v>74920.807499999995</v>
      </c>
      <c r="E16" s="24"/>
      <c r="F16" s="24"/>
      <c r="G16" s="24"/>
      <c r="H16" s="24"/>
      <c r="I16" s="24"/>
      <c r="J16" s="24"/>
      <c r="K16" s="24"/>
    </row>
    <row r="17" spans="1:11" s="3" customFormat="1" x14ac:dyDescent="0.25">
      <c r="A17" s="24"/>
      <c r="B17" s="514">
        <v>0.56000000000000005</v>
      </c>
      <c r="C17" s="430">
        <f>81914.91*1.05</f>
        <v>86010.655500000008</v>
      </c>
      <c r="D17" s="430">
        <f>64581.08*1.05</f>
        <v>67810.134000000005</v>
      </c>
      <c r="E17" s="24"/>
      <c r="F17" s="24"/>
      <c r="G17" s="24"/>
      <c r="H17" s="24"/>
      <c r="I17" s="24"/>
      <c r="J17" s="24"/>
      <c r="K17" s="24"/>
    </row>
    <row r="18" spans="1:11" s="3" customFormat="1" x14ac:dyDescent="0.25">
      <c r="A18" s="24"/>
      <c r="B18" s="514">
        <v>0.6</v>
      </c>
      <c r="C18" s="430">
        <f>78441.01*1.05</f>
        <v>82363.060499999992</v>
      </c>
      <c r="D18" s="430">
        <f>61268.16*1.05</f>
        <v>64331.568000000007</v>
      </c>
      <c r="E18" s="24"/>
      <c r="F18" s="24"/>
      <c r="G18" s="24"/>
      <c r="H18" s="24"/>
      <c r="I18" s="24"/>
      <c r="J18" s="24"/>
      <c r="K18" s="24"/>
    </row>
    <row r="19" spans="1:11" s="3" customFormat="1" x14ac:dyDescent="0.25">
      <c r="A19" s="24"/>
      <c r="B19" s="514">
        <v>0.63</v>
      </c>
      <c r="C19" s="430">
        <f>77035.23*1.05</f>
        <v>80886.991500000004</v>
      </c>
      <c r="D19" s="430">
        <f>60378.5*1.05</f>
        <v>63397.425000000003</v>
      </c>
      <c r="E19" s="24"/>
      <c r="F19" s="24"/>
      <c r="G19" s="24"/>
      <c r="H19" s="24"/>
      <c r="I19" s="24"/>
      <c r="J19" s="24"/>
      <c r="K19" s="24"/>
    </row>
    <row r="20" spans="1:11" s="3" customFormat="1" x14ac:dyDescent="0.25">
      <c r="A20" s="24"/>
      <c r="B20" s="514" t="s">
        <v>109</v>
      </c>
      <c r="C20" s="430">
        <f>71412.14*1.05</f>
        <v>74982.747000000003</v>
      </c>
      <c r="D20" s="430">
        <f>57863.08*1.05</f>
        <v>60756.234000000004</v>
      </c>
      <c r="E20" s="24"/>
      <c r="F20" s="24"/>
      <c r="G20" s="24"/>
      <c r="H20" s="24"/>
      <c r="I20" s="24"/>
      <c r="J20" s="24"/>
      <c r="K20" s="24"/>
    </row>
    <row r="21" spans="1:11" s="3" customFormat="1" x14ac:dyDescent="0.25">
      <c r="A21" s="24"/>
      <c r="B21" s="514" t="s">
        <v>107</v>
      </c>
      <c r="C21" s="430">
        <f>66442.75*1.05</f>
        <v>69764.887499999997</v>
      </c>
      <c r="D21" s="430">
        <f>52042.14*1.05</f>
        <v>54644.247000000003</v>
      </c>
      <c r="E21" s="24"/>
      <c r="F21" s="24"/>
      <c r="G21" s="24"/>
      <c r="H21" s="24"/>
      <c r="I21" s="24"/>
      <c r="J21" s="24"/>
      <c r="K21" s="24"/>
    </row>
    <row r="22" spans="1:11" s="3" customFormat="1" x14ac:dyDescent="0.25">
      <c r="A22" s="24"/>
      <c r="B22" s="514">
        <v>0.9</v>
      </c>
      <c r="C22" s="430">
        <f>65398.25*1.05</f>
        <v>68668.162500000006</v>
      </c>
      <c r="D22" s="430">
        <f>50889.51*1.05</f>
        <v>53433.985500000003</v>
      </c>
      <c r="E22" s="24"/>
      <c r="F22" s="24"/>
      <c r="G22" s="24"/>
      <c r="H22" s="24"/>
      <c r="I22" s="24"/>
      <c r="J22" s="24"/>
      <c r="K22" s="24"/>
    </row>
    <row r="23" spans="1:11" s="3" customFormat="1" x14ac:dyDescent="0.25">
      <c r="A23" s="24"/>
      <c r="B23" s="514">
        <v>1</v>
      </c>
      <c r="C23" s="430">
        <f>64475.41*1.05</f>
        <v>67699.180500000002</v>
      </c>
      <c r="D23" s="430">
        <f>49897.84*1.05</f>
        <v>52392.731999999996</v>
      </c>
      <c r="E23" s="24"/>
      <c r="F23" s="24"/>
      <c r="G23" s="24"/>
      <c r="H23" s="24"/>
      <c r="I23" s="24"/>
      <c r="J23" s="24"/>
      <c r="K23" s="24"/>
    </row>
    <row r="24" spans="1:11" s="3" customFormat="1" x14ac:dyDescent="0.25">
      <c r="A24" s="24"/>
      <c r="B24" s="514" t="s">
        <v>106</v>
      </c>
      <c r="C24" s="430">
        <f>61324.69*1.05</f>
        <v>64390.924500000008</v>
      </c>
      <c r="D24" s="430">
        <f>47669.98*1.05</f>
        <v>50053.479000000007</v>
      </c>
      <c r="E24" s="24"/>
      <c r="F24" s="24"/>
      <c r="G24" s="24"/>
      <c r="H24" s="24"/>
      <c r="I24" s="24"/>
      <c r="J24" s="24"/>
      <c r="K24" s="24"/>
    </row>
    <row r="25" spans="1:11" s="3" customFormat="1" x14ac:dyDescent="0.25">
      <c r="A25" s="24"/>
      <c r="B25" s="514" t="s">
        <v>103</v>
      </c>
      <c r="C25" s="430">
        <f>60841.78*1.05</f>
        <v>63883.868999999999</v>
      </c>
      <c r="D25" s="430">
        <f>47158.8*1.05</f>
        <v>49516.740000000005</v>
      </c>
      <c r="E25" s="24"/>
      <c r="F25" s="24"/>
      <c r="G25" s="24"/>
      <c r="H25" s="24"/>
      <c r="I25" s="24"/>
      <c r="J25" s="24"/>
      <c r="K25" s="24"/>
    </row>
    <row r="26" spans="1:11" s="3" customFormat="1" x14ac:dyDescent="0.25">
      <c r="A26" s="24"/>
      <c r="B26" s="514" t="s">
        <v>105</v>
      </c>
      <c r="C26" s="430">
        <f>61361.55*1.05</f>
        <v>64429.627500000002</v>
      </c>
      <c r="D26" s="430">
        <f>47098.59*1.05</f>
        <v>49453.519499999995</v>
      </c>
      <c r="E26" s="24"/>
      <c r="F26" s="24"/>
      <c r="G26" s="24"/>
      <c r="H26" s="24"/>
      <c r="I26" s="24"/>
      <c r="J26" s="24"/>
      <c r="K26" s="24"/>
    </row>
    <row r="27" spans="1:11" s="3" customFormat="1" x14ac:dyDescent="0.25">
      <c r="A27" s="24"/>
      <c r="B27" s="514">
        <v>1.4</v>
      </c>
      <c r="C27" s="430">
        <f>60608.29*1.05</f>
        <v>63638.704500000007</v>
      </c>
      <c r="D27" s="430">
        <f>46883.53*1.05</f>
        <v>49227.7065</v>
      </c>
      <c r="E27" s="24"/>
      <c r="F27" s="24"/>
      <c r="G27" s="24"/>
      <c r="H27" s="24"/>
      <c r="I27" s="24"/>
      <c r="J27" s="24"/>
      <c r="K27" s="24"/>
    </row>
    <row r="28" spans="1:11" x14ac:dyDescent="0.25">
      <c r="B28" s="514" t="s">
        <v>102</v>
      </c>
      <c r="C28" s="430">
        <f>58817.88*1.05</f>
        <v>61758.773999999998</v>
      </c>
      <c r="D28" s="430">
        <f>45494.96*1.05</f>
        <v>47769.707999999999</v>
      </c>
    </row>
    <row r="29" spans="1:11" x14ac:dyDescent="0.25">
      <c r="B29" s="514" t="s">
        <v>754</v>
      </c>
      <c r="C29" s="430">
        <f>58379.2*1.05</f>
        <v>61298.159999999996</v>
      </c>
      <c r="D29" s="430">
        <f>45000.96*1.05</f>
        <v>47251.008000000002</v>
      </c>
    </row>
    <row r="30" spans="1:11" x14ac:dyDescent="0.25">
      <c r="B30" s="514">
        <v>1.8</v>
      </c>
      <c r="C30" s="430">
        <f>58162.93*1.05</f>
        <v>61071.076500000003</v>
      </c>
      <c r="D30" s="430">
        <f>44978.85*1.05</f>
        <v>47227.792500000003</v>
      </c>
    </row>
    <row r="31" spans="1:11" x14ac:dyDescent="0.25">
      <c r="A31" s="122"/>
      <c r="B31" s="514">
        <v>1.9</v>
      </c>
      <c r="C31" s="430">
        <f>58137.12*1.05</f>
        <v>61043.976000000002</v>
      </c>
      <c r="D31" s="430">
        <f>44663.05*1.05</f>
        <v>46896.202500000007</v>
      </c>
    </row>
    <row r="32" spans="1:11" x14ac:dyDescent="0.25">
      <c r="A32" s="122"/>
      <c r="B32" s="514">
        <v>2</v>
      </c>
      <c r="C32" s="430">
        <f>57488.3*1.05</f>
        <v>60362.715000000004</v>
      </c>
      <c r="D32" s="430">
        <f>44347.23*1.05</f>
        <v>46564.591500000002</v>
      </c>
    </row>
    <row r="33" spans="2:6" x14ac:dyDescent="0.25">
      <c r="B33" s="514">
        <v>2.1</v>
      </c>
      <c r="C33" s="430">
        <f>57013.97*1.05</f>
        <v>59864.668500000007</v>
      </c>
      <c r="D33" s="430">
        <f>43842.19*1.05</f>
        <v>46034.299500000001</v>
      </c>
    </row>
    <row r="34" spans="2:6" x14ac:dyDescent="0.25">
      <c r="B34" s="514" t="s">
        <v>753</v>
      </c>
      <c r="C34" s="430">
        <f>55555.35*1.05</f>
        <v>58333.1175</v>
      </c>
      <c r="D34" s="430">
        <f>43484.6*1.05</f>
        <v>45658.83</v>
      </c>
    </row>
    <row r="35" spans="2:6" x14ac:dyDescent="0.25">
      <c r="B35" s="514">
        <v>2.5</v>
      </c>
      <c r="C35" s="430">
        <f>55850.28*1.05</f>
        <v>58642.794000000002</v>
      </c>
      <c r="D35" s="430">
        <f>43407.17*1.05</f>
        <v>45577.5285</v>
      </c>
    </row>
    <row r="36" spans="2:6" x14ac:dyDescent="0.25">
      <c r="B36" s="514">
        <v>2.75</v>
      </c>
      <c r="C36" s="430">
        <f>55379.64*1.05</f>
        <v>58148.622000000003</v>
      </c>
      <c r="D36" s="430">
        <f>43059.43*1.05</f>
        <v>45212.4015</v>
      </c>
    </row>
    <row r="37" spans="2:6" x14ac:dyDescent="0.25">
      <c r="B37" s="514">
        <v>2.8</v>
      </c>
      <c r="C37" s="430">
        <f>54376.93*1.05</f>
        <v>57095.7765</v>
      </c>
      <c r="D37" s="430">
        <f>42583.86*1.05</f>
        <v>44713.053</v>
      </c>
    </row>
    <row r="38" spans="2:6" x14ac:dyDescent="0.25">
      <c r="B38" s="514" t="s">
        <v>799</v>
      </c>
      <c r="C38" s="430">
        <f>53392.63*1.05</f>
        <v>56062.261500000001</v>
      </c>
      <c r="D38" s="430">
        <f>41815.86*1.05</f>
        <v>43906.653000000006</v>
      </c>
    </row>
    <row r="39" spans="2:6" x14ac:dyDescent="0.25">
      <c r="B39" s="70"/>
      <c r="C39" s="70"/>
      <c r="D39" s="70"/>
      <c r="E39" s="70"/>
    </row>
    <row r="40" spans="2:6" ht="38.25" customHeight="1" x14ac:dyDescent="0.25">
      <c r="B40" s="570" t="s">
        <v>586</v>
      </c>
      <c r="C40" s="570"/>
      <c r="D40" s="570"/>
      <c r="E40" s="570"/>
      <c r="F40" s="515"/>
    </row>
    <row r="41" spans="2:6" x14ac:dyDescent="0.25">
      <c r="B41" s="63" t="s">
        <v>468</v>
      </c>
      <c r="C41" s="70"/>
      <c r="D41" s="70"/>
      <c r="E41" s="70"/>
      <c r="F41" s="70"/>
    </row>
    <row r="42" spans="2:6" x14ac:dyDescent="0.25">
      <c r="B42" s="517" t="s">
        <v>104</v>
      </c>
      <c r="C42" s="518" t="s">
        <v>371</v>
      </c>
    </row>
    <row r="43" spans="2:6" x14ac:dyDescent="0.25">
      <c r="B43" s="514" t="s">
        <v>372</v>
      </c>
      <c r="C43" s="263">
        <v>0.12</v>
      </c>
    </row>
    <row r="44" spans="2:6" x14ac:dyDescent="0.25">
      <c r="B44" s="514" t="s">
        <v>643</v>
      </c>
      <c r="C44" s="263">
        <v>0.06</v>
      </c>
    </row>
    <row r="45" spans="2:6" x14ac:dyDescent="0.25">
      <c r="B45" s="518" t="s">
        <v>644</v>
      </c>
      <c r="C45" s="263">
        <v>0.05</v>
      </c>
    </row>
    <row r="46" spans="2:6" x14ac:dyDescent="0.25">
      <c r="B46" s="518" t="s">
        <v>373</v>
      </c>
      <c r="C46" s="263">
        <v>0.04</v>
      </c>
    </row>
    <row r="47" spans="2:6" x14ac:dyDescent="0.25">
      <c r="B47" s="71"/>
      <c r="C47" s="241"/>
    </row>
    <row r="48" spans="2:6" x14ac:dyDescent="0.25">
      <c r="B48" s="3"/>
      <c r="C48" s="3"/>
      <c r="D48" s="3"/>
      <c r="E48" s="4">
        <v>41122</v>
      </c>
    </row>
    <row r="49" spans="2:5" ht="13.95" customHeight="1" x14ac:dyDescent="0.25">
      <c r="B49" s="565" t="s">
        <v>421</v>
      </c>
      <c r="C49" s="565"/>
      <c r="D49" s="571" t="s">
        <v>422</v>
      </c>
      <c r="E49" s="572"/>
    </row>
    <row r="50" spans="2:5" x14ac:dyDescent="0.25">
      <c r="B50" s="565"/>
      <c r="C50" s="565"/>
      <c r="D50" s="264" t="s">
        <v>450</v>
      </c>
      <c r="E50" s="265" t="s">
        <v>451</v>
      </c>
    </row>
    <row r="51" spans="2:5" x14ac:dyDescent="0.25">
      <c r="B51" s="565" t="s">
        <v>423</v>
      </c>
      <c r="C51" s="565"/>
      <c r="D51" s="516" t="s">
        <v>498</v>
      </c>
      <c r="E51" s="516" t="s">
        <v>498</v>
      </c>
    </row>
    <row r="52" spans="2:5" x14ac:dyDescent="0.25">
      <c r="B52" s="569" t="s">
        <v>424</v>
      </c>
      <c r="C52" s="569"/>
      <c r="D52" s="266">
        <f>43487.44*1.05</f>
        <v>45661.812000000005</v>
      </c>
      <c r="E52" s="266">
        <f>43778.72*1.05</f>
        <v>45967.656000000003</v>
      </c>
    </row>
    <row r="53" spans="2:5" ht="13.2" customHeight="1" x14ac:dyDescent="0.25">
      <c r="B53" s="573"/>
      <c r="C53" s="573"/>
      <c r="D53" s="571" t="s">
        <v>749</v>
      </c>
      <c r="E53" s="571"/>
    </row>
    <row r="54" spans="2:5" x14ac:dyDescent="0.25">
      <c r="B54" s="569" t="s">
        <v>425</v>
      </c>
      <c r="C54" s="569"/>
      <c r="D54" s="266">
        <f>43982.91*1.05</f>
        <v>46182.055500000002</v>
      </c>
      <c r="E54" s="266"/>
    </row>
    <row r="55" spans="2:5" x14ac:dyDescent="0.25">
      <c r="B55" s="569" t="s">
        <v>750</v>
      </c>
      <c r="C55" s="569"/>
      <c r="D55" s="266">
        <f>43487.44*1.05</f>
        <v>45661.812000000005</v>
      </c>
      <c r="E55" s="517"/>
    </row>
  </sheetData>
  <mergeCells count="14">
    <mergeCell ref="B55:C55"/>
    <mergeCell ref="B40:E40"/>
    <mergeCell ref="B52:C52"/>
    <mergeCell ref="B49:C50"/>
    <mergeCell ref="D49:E49"/>
    <mergeCell ref="B51:C51"/>
    <mergeCell ref="B54:C54"/>
    <mergeCell ref="D53:E53"/>
    <mergeCell ref="B53:C53"/>
    <mergeCell ref="B4:B6"/>
    <mergeCell ref="C4:D4"/>
    <mergeCell ref="C6:D6"/>
    <mergeCell ref="B2:D2"/>
    <mergeCell ref="B3:D3"/>
  </mergeCells>
  <phoneticPr fontId="0" type="noConversion"/>
  <conditionalFormatting sqref="B43:B44 B41 A31:A32 B28:B38">
    <cfRule type="cellIs" dxfId="0" priority="1" stopIfTrue="1" operator="equal">
      <formula>0</formula>
    </cfRule>
  </conditionalFormatting>
  <hyperlinks>
    <hyperlink ref="F1" location="'2'!A1" display="Оглавление"/>
  </hyperlinks>
  <printOptions horizontalCentered="1"/>
  <pageMargins left="0.59055118110236227" right="0.59055118110236227" top="0.35433070866141736" bottom="0.39370078740157483" header="0.23622047244094491" footer="0.23622047244094491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I61"/>
  <sheetViews>
    <sheetView view="pageBreakPreview" zoomScale="85" zoomScaleNormal="60" workbookViewId="0">
      <selection activeCell="C24" sqref="C24"/>
    </sheetView>
  </sheetViews>
  <sheetFormatPr defaultColWidth="8.88671875" defaultRowHeight="13.2" x14ac:dyDescent="0.25"/>
  <cols>
    <col min="1" max="1" width="8.88671875" style="24"/>
    <col min="2" max="2" width="20.44140625" style="24" customWidth="1"/>
    <col min="3" max="3" width="13.33203125" style="24" customWidth="1"/>
    <col min="4" max="4" width="17.88671875" style="24" customWidth="1"/>
    <col min="5" max="5" width="12.44140625" style="24" customWidth="1"/>
    <col min="6" max="6" width="10.6640625" style="24" customWidth="1"/>
    <col min="7" max="7" width="18.88671875" style="24" customWidth="1"/>
    <col min="8" max="8" width="14.6640625" style="24" customWidth="1"/>
    <col min="9" max="16384" width="8.88671875" style="24"/>
  </cols>
  <sheetData>
    <row r="1" spans="1:9" x14ac:dyDescent="0.25">
      <c r="B1" s="16"/>
      <c r="C1" s="4">
        <v>41091</v>
      </c>
      <c r="E1" s="4">
        <v>41091</v>
      </c>
      <c r="G1" s="3"/>
      <c r="H1" s="4">
        <v>41091</v>
      </c>
      <c r="I1" s="54" t="s">
        <v>466</v>
      </c>
    </row>
    <row r="2" spans="1:9" ht="56.4" customHeight="1" x14ac:dyDescent="0.25">
      <c r="B2" s="267" t="s">
        <v>408</v>
      </c>
      <c r="C2" s="268" t="s">
        <v>409</v>
      </c>
      <c r="D2" s="267" t="s">
        <v>523</v>
      </c>
      <c r="E2" s="268" t="s">
        <v>522</v>
      </c>
      <c r="G2" s="267" t="s">
        <v>406</v>
      </c>
      <c r="H2" s="268" t="s">
        <v>407</v>
      </c>
    </row>
    <row r="3" spans="1:9" x14ac:dyDescent="0.25">
      <c r="B3" s="475" t="s">
        <v>104</v>
      </c>
      <c r="C3" s="473" t="s">
        <v>276</v>
      </c>
      <c r="D3" s="475" t="s">
        <v>104</v>
      </c>
      <c r="E3" s="473" t="s">
        <v>276</v>
      </c>
      <c r="G3" s="475" t="s">
        <v>104</v>
      </c>
      <c r="H3" s="473" t="s">
        <v>498</v>
      </c>
    </row>
    <row r="4" spans="1:9" ht="13.2" customHeight="1" x14ac:dyDescent="0.25">
      <c r="A4" s="157"/>
      <c r="B4" s="246">
        <v>1.1000000000000001</v>
      </c>
      <c r="C4" s="261">
        <f>48729.7*1.05</f>
        <v>51166.184999999998</v>
      </c>
      <c r="D4" s="246"/>
      <c r="E4" s="261"/>
      <c r="G4" s="269">
        <v>0.4</v>
      </c>
      <c r="H4" s="261">
        <f>74608.94*1.05</f>
        <v>78339.387000000002</v>
      </c>
    </row>
    <row r="5" spans="1:9" x14ac:dyDescent="0.25">
      <c r="B5" s="246">
        <v>1.3</v>
      </c>
      <c r="C5" s="261">
        <f>48389.85*1.05</f>
        <v>50809.342499999999</v>
      </c>
      <c r="D5" s="246"/>
      <c r="E5" s="261"/>
      <c r="G5" s="269">
        <v>0.5</v>
      </c>
      <c r="H5" s="261">
        <f>66269.41*1.05</f>
        <v>69582.880500000014</v>
      </c>
    </row>
    <row r="6" spans="1:9" x14ac:dyDescent="0.25">
      <c r="B6" s="246">
        <v>1.65</v>
      </c>
      <c r="C6" s="261">
        <f>47835.8*1.05</f>
        <v>50227.590000000004</v>
      </c>
      <c r="D6" s="246"/>
      <c r="E6" s="261"/>
      <c r="G6" s="269">
        <v>0.6</v>
      </c>
      <c r="H6" s="261">
        <f>62986.15*1.05</f>
        <v>66135.457500000004</v>
      </c>
    </row>
    <row r="7" spans="1:9" x14ac:dyDescent="0.25">
      <c r="B7" s="246">
        <v>2.1</v>
      </c>
      <c r="C7" s="261">
        <f>46301.96*1.05</f>
        <v>48617.058000000005</v>
      </c>
      <c r="D7" s="246"/>
      <c r="E7" s="261"/>
      <c r="G7" s="269">
        <v>0.7</v>
      </c>
      <c r="H7" s="261">
        <f>59341.72*1.05</f>
        <v>62308.806000000004</v>
      </c>
    </row>
    <row r="8" spans="1:9" x14ac:dyDescent="0.25">
      <c r="B8" s="246">
        <v>2.4</v>
      </c>
      <c r="C8" s="261">
        <f>45968.82*1.05</f>
        <v>48267.260999999999</v>
      </c>
      <c r="D8" s="246"/>
      <c r="E8" s="261"/>
      <c r="G8" s="269">
        <v>0.8</v>
      </c>
      <c r="H8" s="261">
        <f>55073.47*1.05</f>
        <v>57827.143500000006</v>
      </c>
    </row>
    <row r="9" spans="1:9" x14ac:dyDescent="0.25">
      <c r="B9" s="246">
        <v>2.9</v>
      </c>
      <c r="C9" s="261">
        <f>45801.36*1.05</f>
        <v>48091.428</v>
      </c>
      <c r="D9" s="246">
        <v>2.9</v>
      </c>
      <c r="E9" s="261">
        <f>45801.36*1.05</f>
        <v>48091.428</v>
      </c>
      <c r="G9" s="269">
        <v>0.9</v>
      </c>
      <c r="H9" s="261">
        <f>53037.84*1.05</f>
        <v>55689.731999999996</v>
      </c>
    </row>
    <row r="10" spans="1:9" x14ac:dyDescent="0.25">
      <c r="B10" s="246">
        <v>3.3</v>
      </c>
      <c r="C10" s="261">
        <f>45678.43*1.05</f>
        <v>47962.351500000004</v>
      </c>
      <c r="D10" s="246">
        <v>3.3</v>
      </c>
      <c r="E10" s="261">
        <f>45678.43*1.05</f>
        <v>47962.351500000004</v>
      </c>
      <c r="G10" s="269">
        <v>1</v>
      </c>
      <c r="H10" s="261">
        <f>51363.35*1.05</f>
        <v>53931.517500000002</v>
      </c>
    </row>
    <row r="11" spans="1:9" ht="16.2" customHeight="1" x14ac:dyDescent="0.25">
      <c r="B11" s="246" t="s">
        <v>520</v>
      </c>
      <c r="C11" s="261">
        <f>45660.62*1.05</f>
        <v>47943.651000000005</v>
      </c>
      <c r="D11" s="246" t="s">
        <v>520</v>
      </c>
      <c r="E11" s="261">
        <f>45660.62*1.05</f>
        <v>47943.651000000005</v>
      </c>
      <c r="G11" s="21"/>
      <c r="H11" s="21"/>
    </row>
    <row r="12" spans="1:9" ht="16.2" customHeight="1" x14ac:dyDescent="0.25">
      <c r="B12" s="27"/>
      <c r="C12" s="21"/>
      <c r="D12" s="27"/>
      <c r="E12" s="21"/>
      <c r="G12" s="21"/>
      <c r="H12" s="4">
        <v>40634</v>
      </c>
    </row>
    <row r="13" spans="1:9" ht="19.95" customHeight="1" x14ac:dyDescent="0.25">
      <c r="G13" s="580" t="s">
        <v>594</v>
      </c>
      <c r="H13" s="580"/>
    </row>
    <row r="14" spans="1:9" ht="13.2" customHeight="1" x14ac:dyDescent="0.25">
      <c r="B14" s="10"/>
      <c r="C14" s="10"/>
      <c r="D14" s="4">
        <v>41091</v>
      </c>
      <c r="G14" s="581" t="s">
        <v>668</v>
      </c>
      <c r="H14" s="581"/>
    </row>
    <row r="15" spans="1:9" x14ac:dyDescent="0.25">
      <c r="B15" s="575" t="s">
        <v>50</v>
      </c>
      <c r="C15" s="575"/>
      <c r="D15" s="576" t="s">
        <v>51</v>
      </c>
      <c r="G15" s="581"/>
      <c r="H15" s="581"/>
    </row>
    <row r="16" spans="1:9" x14ac:dyDescent="0.25">
      <c r="B16" s="575"/>
      <c r="C16" s="575"/>
      <c r="D16" s="576"/>
      <c r="G16" s="489" t="s">
        <v>112</v>
      </c>
      <c r="H16" s="489" t="s">
        <v>276</v>
      </c>
    </row>
    <row r="17" spans="2:9" x14ac:dyDescent="0.25">
      <c r="B17" s="574" t="s">
        <v>620</v>
      </c>
      <c r="C17" s="574"/>
      <c r="D17" s="574"/>
      <c r="G17" s="274" t="s">
        <v>595</v>
      </c>
      <c r="H17" s="395">
        <f>52963.94*1.03</f>
        <v>54552.858200000002</v>
      </c>
    </row>
    <row r="18" spans="2:9" x14ac:dyDescent="0.25">
      <c r="B18" s="270" t="s">
        <v>104</v>
      </c>
      <c r="C18" s="270" t="s">
        <v>623</v>
      </c>
      <c r="D18" s="270" t="s">
        <v>621</v>
      </c>
      <c r="G18" s="274">
        <v>2</v>
      </c>
      <c r="H18" s="395">
        <f>52537.71*1.03</f>
        <v>54113.8413</v>
      </c>
    </row>
    <row r="19" spans="2:9" x14ac:dyDescent="0.25">
      <c r="B19" s="271">
        <v>0.2</v>
      </c>
      <c r="C19" s="504">
        <f>96723.41*1.05</f>
        <v>101559.58050000001</v>
      </c>
      <c r="D19" s="504">
        <f>98594.01*1.05</f>
        <v>103523.7105</v>
      </c>
      <c r="G19" s="274">
        <v>2.1</v>
      </c>
      <c r="H19" s="395">
        <f>51816.3*1.03</f>
        <v>53370.789000000004</v>
      </c>
    </row>
    <row r="20" spans="2:9" x14ac:dyDescent="0.25">
      <c r="B20" s="272">
        <v>0.24</v>
      </c>
      <c r="C20" s="504">
        <f>94192.57*1.05</f>
        <v>98902.198500000013</v>
      </c>
      <c r="D20" s="504">
        <f>97647.71*1.05</f>
        <v>102530.09550000001</v>
      </c>
      <c r="G20" s="274">
        <v>2.2000000000000002</v>
      </c>
      <c r="H20" s="395">
        <f>50637.03*1.03</f>
        <v>52156.140899999999</v>
      </c>
    </row>
    <row r="21" spans="2:9" x14ac:dyDescent="0.25">
      <c r="B21" s="272">
        <v>0.26</v>
      </c>
      <c r="C21" s="504">
        <f>92299.96*1.05</f>
        <v>96914.958000000013</v>
      </c>
      <c r="D21" s="504">
        <f>95689.06*1.05</f>
        <v>100473.51300000001</v>
      </c>
      <c r="G21" s="274">
        <v>2.2999999999999998</v>
      </c>
      <c r="H21" s="395">
        <f>49886.33*1.03</f>
        <v>51382.919900000001</v>
      </c>
    </row>
    <row r="22" spans="2:9" ht="13.2" customHeight="1" x14ac:dyDescent="0.25">
      <c r="B22" s="272">
        <v>0.28000000000000003</v>
      </c>
      <c r="C22" s="504">
        <f>91155.58*1.05</f>
        <v>95713.359000000011</v>
      </c>
      <c r="D22" s="504">
        <f>94060.52*1.05</f>
        <v>98763.546000000002</v>
      </c>
      <c r="G22" s="274" t="s">
        <v>765</v>
      </c>
      <c r="H22" s="395">
        <f>49079.75*1.03</f>
        <v>50552.142500000002</v>
      </c>
    </row>
    <row r="23" spans="2:9" ht="13.2" customHeight="1" x14ac:dyDescent="0.25">
      <c r="B23" s="272">
        <v>0.32</v>
      </c>
      <c r="C23" s="504">
        <f>89020.88*1.05</f>
        <v>93471.924000000014</v>
      </c>
      <c r="D23" s="504">
        <f>92277.95*1.05</f>
        <v>96891.847500000003</v>
      </c>
      <c r="G23" s="274">
        <v>2.65</v>
      </c>
      <c r="H23" s="395">
        <f>48360.99*1.03</f>
        <v>49811.8197</v>
      </c>
    </row>
    <row r="24" spans="2:9" ht="13.2" customHeight="1" x14ac:dyDescent="0.25">
      <c r="B24" s="272">
        <v>0.34</v>
      </c>
      <c r="C24" s="504">
        <f>88316.64*1.05</f>
        <v>92732.472000000009</v>
      </c>
      <c r="D24" s="504">
        <f>94104.54*1.05</f>
        <v>98809.766999999993</v>
      </c>
      <c r="F24" s="189"/>
      <c r="G24" s="274">
        <v>2.8</v>
      </c>
      <c r="H24" s="395">
        <f>47525.11*1.03</f>
        <v>48950.863300000005</v>
      </c>
    </row>
    <row r="25" spans="2:9" ht="13.2" customHeight="1" x14ac:dyDescent="0.25">
      <c r="B25" s="272">
        <v>0.38</v>
      </c>
      <c r="C25" s="504">
        <f>86798.14*1.05</f>
        <v>91138.047000000006</v>
      </c>
      <c r="D25" s="504">
        <f>89835.14*1.05</f>
        <v>94326.896999999997</v>
      </c>
      <c r="F25" s="189"/>
      <c r="G25" s="274">
        <v>2.95</v>
      </c>
      <c r="H25" s="395">
        <f>47332.6*1.03</f>
        <v>48752.578000000001</v>
      </c>
    </row>
    <row r="26" spans="2:9" ht="13.2" customHeight="1" x14ac:dyDescent="0.25">
      <c r="B26" s="271">
        <v>0.4</v>
      </c>
      <c r="C26" s="504">
        <f>85917.86*1.05</f>
        <v>90213.753000000012</v>
      </c>
      <c r="D26" s="504">
        <f>89020.88*1.05</f>
        <v>93471.924000000014</v>
      </c>
      <c r="G26" s="274">
        <v>3.05</v>
      </c>
      <c r="H26" s="395">
        <f>46480.5*1.03</f>
        <v>47874.915000000001</v>
      </c>
    </row>
    <row r="27" spans="2:9" ht="13.2" customHeight="1" x14ac:dyDescent="0.25">
      <c r="B27" s="272">
        <v>0.45</v>
      </c>
      <c r="C27" s="504">
        <f>85741.79*1.05</f>
        <v>90028.879499999995</v>
      </c>
      <c r="D27" s="504">
        <f>88844.82*1.05</f>
        <v>93287.061000000016</v>
      </c>
      <c r="G27" s="274">
        <v>3.2</v>
      </c>
      <c r="H27" s="395">
        <f>45747.79*1.03</f>
        <v>47120.223700000002</v>
      </c>
    </row>
    <row r="28" spans="2:9" ht="13.2" customHeight="1" x14ac:dyDescent="0.25">
      <c r="B28" s="271">
        <v>0.5</v>
      </c>
      <c r="C28" s="504">
        <f>85257.64*1.05</f>
        <v>89520.521999999997</v>
      </c>
      <c r="D28" s="504">
        <f>88382.66*1.05</f>
        <v>92801.793000000005</v>
      </c>
      <c r="G28" s="274">
        <v>3.4</v>
      </c>
      <c r="H28" s="395">
        <f>44895.69*1.03</f>
        <v>46242.560700000002</v>
      </c>
    </row>
    <row r="29" spans="2:9" ht="13.2" customHeight="1" x14ac:dyDescent="0.25">
      <c r="B29" s="272">
        <v>0.56000000000000005</v>
      </c>
      <c r="C29" s="504">
        <f>79579.77*1.05</f>
        <v>83558.758500000011</v>
      </c>
      <c r="D29" s="504">
        <f>82418.7*1.05</f>
        <v>86539.634999999995</v>
      </c>
      <c r="G29" s="274">
        <v>3.5</v>
      </c>
      <c r="H29" s="395">
        <f>44542.91*1.03</f>
        <v>45879.197300000007</v>
      </c>
    </row>
    <row r="30" spans="2:9" ht="13.2" customHeight="1" x14ac:dyDescent="0.25">
      <c r="B30" s="271">
        <v>0.7</v>
      </c>
      <c r="C30" s="504">
        <f>76498.77*1.05</f>
        <v>80323.708500000008</v>
      </c>
      <c r="D30" s="504">
        <f>79205.65*1.05</f>
        <v>83165.932499999995</v>
      </c>
      <c r="G30" s="274" t="s">
        <v>596</v>
      </c>
      <c r="H30" s="395">
        <f>44160.26*1.03</f>
        <v>45485.067800000004</v>
      </c>
      <c r="I30" s="70"/>
    </row>
    <row r="31" spans="2:9" x14ac:dyDescent="0.25">
      <c r="B31" s="187"/>
      <c r="C31" s="190"/>
      <c r="G31" s="274" t="s">
        <v>770</v>
      </c>
      <c r="H31" s="395">
        <f>43310.87*1.03</f>
        <v>44610.196100000001</v>
      </c>
      <c r="I31" s="70"/>
    </row>
    <row r="32" spans="2:9" x14ac:dyDescent="0.25">
      <c r="B32" s="9"/>
      <c r="C32" s="9"/>
      <c r="D32" s="4">
        <v>41091</v>
      </c>
      <c r="G32" s="274">
        <v>4.5</v>
      </c>
      <c r="H32" s="395">
        <f>43310.87*1.03</f>
        <v>44610.196100000001</v>
      </c>
    </row>
    <row r="33" spans="2:9" x14ac:dyDescent="0.25">
      <c r="B33" s="578" t="s">
        <v>618</v>
      </c>
      <c r="C33" s="578"/>
      <c r="D33" s="576" t="s">
        <v>619</v>
      </c>
      <c r="G33" s="189"/>
      <c r="H33" s="191"/>
    </row>
    <row r="34" spans="2:9" ht="13.2" customHeight="1" x14ac:dyDescent="0.25">
      <c r="B34" s="578"/>
      <c r="C34" s="578"/>
      <c r="D34" s="576"/>
      <c r="G34" s="189"/>
      <c r="H34" s="191"/>
    </row>
    <row r="35" spans="2:9" x14ac:dyDescent="0.25">
      <c r="B35" s="578"/>
      <c r="C35" s="578"/>
      <c r="D35" s="576"/>
      <c r="G35" s="189"/>
      <c r="H35" s="191"/>
    </row>
    <row r="36" spans="2:9" x14ac:dyDescent="0.25">
      <c r="B36" s="579" t="s">
        <v>620</v>
      </c>
      <c r="C36" s="579"/>
      <c r="D36" s="579"/>
      <c r="G36" s="189"/>
      <c r="H36" s="191"/>
      <c r="I36" s="3"/>
    </row>
    <row r="37" spans="2:9" x14ac:dyDescent="0.25">
      <c r="B37" s="479" t="s">
        <v>104</v>
      </c>
      <c r="C37" s="479" t="s">
        <v>623</v>
      </c>
      <c r="D37" s="479" t="s">
        <v>621</v>
      </c>
      <c r="G37" s="189"/>
      <c r="H37" s="191"/>
      <c r="I37" s="3"/>
    </row>
    <row r="38" spans="2:9" x14ac:dyDescent="0.25">
      <c r="B38" s="479">
        <v>0.25</v>
      </c>
      <c r="C38" s="261">
        <f>88729.34*1.05</f>
        <v>93165.807000000001</v>
      </c>
      <c r="D38" s="275">
        <f>85385.58*1.05</f>
        <v>89654.859000000011</v>
      </c>
      <c r="G38" s="189"/>
      <c r="H38" s="191"/>
      <c r="I38" s="3"/>
    </row>
    <row r="39" spans="2:9" x14ac:dyDescent="0.25">
      <c r="B39" s="274">
        <v>0.3</v>
      </c>
      <c r="C39" s="261">
        <f>81205.51*1.05</f>
        <v>85265.785499999998</v>
      </c>
      <c r="D39" s="275">
        <f>77171.73*1.05</f>
        <v>81030.316500000001</v>
      </c>
      <c r="G39" s="189"/>
      <c r="H39" s="191"/>
      <c r="I39" s="3"/>
    </row>
    <row r="40" spans="2:9" ht="13.2" customHeight="1" x14ac:dyDescent="0.25">
      <c r="B40" s="274">
        <v>0.4</v>
      </c>
      <c r="C40" s="261">
        <f>68393.58*1.05</f>
        <v>71813.259000000005</v>
      </c>
      <c r="D40" s="275">
        <f>65781.03*1.05</f>
        <v>69070.0815</v>
      </c>
      <c r="G40" s="189"/>
      <c r="H40" s="191"/>
      <c r="I40" s="3"/>
    </row>
    <row r="41" spans="2:9" x14ac:dyDescent="0.25">
      <c r="B41" s="274">
        <v>0.5</v>
      </c>
      <c r="C41" s="261">
        <f>62583.27*1.05</f>
        <v>65712.433499999999</v>
      </c>
      <c r="D41" s="275">
        <f>60576.83*1.05</f>
        <v>63605.671500000004</v>
      </c>
      <c r="G41" s="189"/>
      <c r="H41" s="191"/>
      <c r="I41" s="3"/>
    </row>
    <row r="42" spans="2:9" x14ac:dyDescent="0.25">
      <c r="B42" s="24" t="s">
        <v>737</v>
      </c>
      <c r="I42" s="3"/>
    </row>
    <row r="43" spans="2:9" x14ac:dyDescent="0.25">
      <c r="B43" s="75"/>
      <c r="C43" s="75"/>
      <c r="D43" s="4">
        <v>40634</v>
      </c>
      <c r="H43" s="4">
        <v>41091</v>
      </c>
      <c r="I43" s="3"/>
    </row>
    <row r="44" spans="2:9" ht="19.95" customHeight="1" x14ac:dyDescent="0.25">
      <c r="B44" s="577" t="s">
        <v>597</v>
      </c>
      <c r="C44" s="577"/>
      <c r="D44" s="276" t="s">
        <v>598</v>
      </c>
      <c r="G44" s="568" t="s">
        <v>352</v>
      </c>
      <c r="H44" s="568"/>
      <c r="I44" s="3"/>
    </row>
    <row r="45" spans="2:9" x14ac:dyDescent="0.25">
      <c r="B45" s="480" t="s">
        <v>301</v>
      </c>
      <c r="C45" s="480" t="s">
        <v>599</v>
      </c>
      <c r="D45" s="477" t="s">
        <v>600</v>
      </c>
      <c r="G45" s="583" t="s">
        <v>10</v>
      </c>
      <c r="H45" s="583"/>
      <c r="I45" s="3"/>
    </row>
    <row r="46" spans="2:9" x14ac:dyDescent="0.25">
      <c r="B46" s="483" t="s">
        <v>601</v>
      </c>
      <c r="C46" s="277">
        <v>0.14699999999999999</v>
      </c>
      <c r="D46" s="275">
        <f>9985.16*1.03</f>
        <v>10284.7148</v>
      </c>
      <c r="E46" s="240"/>
      <c r="G46" s="264" t="s">
        <v>11</v>
      </c>
      <c r="H46" s="278" t="s">
        <v>12</v>
      </c>
    </row>
    <row r="47" spans="2:9" x14ac:dyDescent="0.25">
      <c r="B47" s="483" t="s">
        <v>602</v>
      </c>
      <c r="C47" s="277">
        <v>0.16</v>
      </c>
      <c r="D47" s="275">
        <f>10594.38*1.03</f>
        <v>10912.2114</v>
      </c>
      <c r="E47" s="240"/>
      <c r="G47" s="279" t="s">
        <v>13</v>
      </c>
      <c r="H47" s="261">
        <f>77962.81*1.05</f>
        <v>81860.950500000006</v>
      </c>
    </row>
    <row r="48" spans="2:9" x14ac:dyDescent="0.25">
      <c r="B48" s="483" t="s">
        <v>603</v>
      </c>
      <c r="C48" s="277">
        <v>0.19</v>
      </c>
      <c r="D48" s="275">
        <f>12034.98*1.03</f>
        <v>12396.029399999999</v>
      </c>
      <c r="E48" s="240"/>
      <c r="G48" s="279" t="s">
        <v>14</v>
      </c>
      <c r="H48" s="261">
        <f>58371.01*1.05</f>
        <v>61289.560500000007</v>
      </c>
    </row>
    <row r="49" spans="2:8" x14ac:dyDescent="0.25">
      <c r="B49" s="483" t="s">
        <v>744</v>
      </c>
      <c r="C49" s="277">
        <v>0.20899999999999999</v>
      </c>
      <c r="D49" s="275">
        <f>13005.97*1.03</f>
        <v>13396.149100000001</v>
      </c>
      <c r="E49" s="240"/>
      <c r="G49" s="279" t="s">
        <v>15</v>
      </c>
      <c r="H49" s="261">
        <f>52657.09*1.05</f>
        <v>55289.944499999998</v>
      </c>
    </row>
    <row r="50" spans="2:8" ht="13.2" customHeight="1" x14ac:dyDescent="0.25">
      <c r="B50" s="483" t="s">
        <v>604</v>
      </c>
      <c r="C50" s="277">
        <v>0.22800000000000001</v>
      </c>
      <c r="D50" s="275">
        <f>13595.89*1.03</f>
        <v>14003.7667</v>
      </c>
      <c r="E50" s="240"/>
    </row>
    <row r="51" spans="2:8" x14ac:dyDescent="0.25">
      <c r="B51" s="483" t="s">
        <v>605</v>
      </c>
      <c r="C51" s="277">
        <v>0.25</v>
      </c>
      <c r="D51" s="275">
        <f>14331.32*1.03</f>
        <v>14761.259599999999</v>
      </c>
      <c r="E51" s="240"/>
      <c r="G51" s="136" t="s">
        <v>16</v>
      </c>
      <c r="H51" s="3"/>
    </row>
    <row r="52" spans="2:8" ht="13.2" customHeight="1" x14ac:dyDescent="0.25">
      <c r="B52" s="483" t="s">
        <v>606</v>
      </c>
      <c r="C52" s="277">
        <v>0.26900000000000002</v>
      </c>
      <c r="D52" s="275">
        <f>15420.49*1.03</f>
        <v>15883.1047</v>
      </c>
      <c r="E52" s="240"/>
      <c r="G52" s="582" t="s">
        <v>669</v>
      </c>
      <c r="H52" s="582"/>
    </row>
    <row r="53" spans="2:8" x14ac:dyDescent="0.25">
      <c r="B53" s="483" t="s">
        <v>607</v>
      </c>
      <c r="C53" s="277">
        <v>0.30199999999999999</v>
      </c>
      <c r="D53" s="275">
        <f>17084*1.03</f>
        <v>17596.52</v>
      </c>
      <c r="E53" s="240"/>
      <c r="G53" s="582"/>
      <c r="H53" s="582"/>
    </row>
    <row r="54" spans="2:8" x14ac:dyDescent="0.25">
      <c r="B54" s="483" t="s">
        <v>608</v>
      </c>
      <c r="C54" s="277">
        <v>0.33700000000000002</v>
      </c>
      <c r="D54" s="275">
        <f>18768.46*1.03</f>
        <v>19331.513800000001</v>
      </c>
      <c r="E54" s="240"/>
      <c r="G54" s="476"/>
      <c r="H54" s="476"/>
    </row>
    <row r="55" spans="2:8" x14ac:dyDescent="0.25">
      <c r="B55" s="483" t="s">
        <v>609</v>
      </c>
      <c r="C55" s="277">
        <v>0.4</v>
      </c>
      <c r="D55" s="275">
        <f>21883.4*1.03</f>
        <v>22539.902000000002</v>
      </c>
      <c r="E55" s="240"/>
    </row>
    <row r="56" spans="2:8" x14ac:dyDescent="0.25">
      <c r="B56" s="483" t="s">
        <v>730</v>
      </c>
      <c r="C56" s="277">
        <v>0.441</v>
      </c>
      <c r="D56" s="275">
        <f>23688.09*1.03</f>
        <v>24398.7327</v>
      </c>
      <c r="E56" s="240"/>
    </row>
    <row r="57" spans="2:8" x14ac:dyDescent="0.25">
      <c r="B57" s="483" t="s">
        <v>610</v>
      </c>
      <c r="C57" s="277">
        <v>0.498</v>
      </c>
      <c r="D57" s="275">
        <f>25674.26*1.03</f>
        <v>26444.487799999999</v>
      </c>
      <c r="E57" s="240"/>
    </row>
    <row r="58" spans="2:8" x14ac:dyDescent="0.25">
      <c r="B58" s="483" t="s">
        <v>688</v>
      </c>
      <c r="C58" s="277">
        <v>0.51699999914177996</v>
      </c>
      <c r="D58" s="275">
        <f>26595.17*1.03</f>
        <v>27393.025099999999</v>
      </c>
      <c r="E58" s="240"/>
    </row>
    <row r="59" spans="2:8" x14ac:dyDescent="0.25">
      <c r="B59" s="483" t="s">
        <v>611</v>
      </c>
      <c r="C59" s="277">
        <v>0.56699999999999995</v>
      </c>
      <c r="D59" s="275">
        <f>32601.31*1.03</f>
        <v>33579.349300000002</v>
      </c>
      <c r="E59" s="240"/>
    </row>
    <row r="60" spans="2:8" x14ac:dyDescent="0.25">
      <c r="B60" s="483" t="s">
        <v>814</v>
      </c>
      <c r="C60" s="277">
        <v>0.73199999999999998</v>
      </c>
      <c r="D60" s="275">
        <v>43320</v>
      </c>
      <c r="E60" s="240"/>
    </row>
    <row r="61" spans="2:8" x14ac:dyDescent="0.25">
      <c r="B61" s="483" t="s">
        <v>804</v>
      </c>
      <c r="C61" s="277">
        <v>1.601</v>
      </c>
      <c r="D61" s="275">
        <v>94520</v>
      </c>
      <c r="E61" s="240"/>
    </row>
  </sheetData>
  <mergeCells count="12">
    <mergeCell ref="G13:H13"/>
    <mergeCell ref="G14:H15"/>
    <mergeCell ref="G52:H53"/>
    <mergeCell ref="G44:H44"/>
    <mergeCell ref="G45:H45"/>
    <mergeCell ref="B17:D17"/>
    <mergeCell ref="B15:C16"/>
    <mergeCell ref="D15:D16"/>
    <mergeCell ref="B44:C44"/>
    <mergeCell ref="B33:C35"/>
    <mergeCell ref="D33:D35"/>
    <mergeCell ref="B36:D36"/>
  </mergeCells>
  <phoneticPr fontId="0" type="noConversion"/>
  <hyperlinks>
    <hyperlink ref="I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48"/>
  <sheetViews>
    <sheetView view="pageBreakPreview" zoomScale="85" zoomScaleNormal="80" zoomScaleSheetLayoutView="75" workbookViewId="0">
      <selection activeCell="C9" sqref="C9"/>
    </sheetView>
  </sheetViews>
  <sheetFormatPr defaultColWidth="8.88671875" defaultRowHeight="13.2" x14ac:dyDescent="0.25"/>
  <cols>
    <col min="1" max="1" width="10.33203125" style="24" customWidth="1"/>
    <col min="2" max="2" width="16.5546875" style="24" customWidth="1"/>
    <col min="3" max="3" width="20" style="24" customWidth="1"/>
    <col min="4" max="4" width="21.6640625" style="24" customWidth="1"/>
    <col min="5" max="5" width="10.33203125" style="24" customWidth="1"/>
    <col min="6" max="16384" width="8.88671875" style="24"/>
  </cols>
  <sheetData>
    <row r="1" spans="1:5" s="3" customFormat="1" x14ac:dyDescent="0.25">
      <c r="A1" s="5"/>
      <c r="B1" s="24"/>
      <c r="C1" s="24"/>
      <c r="D1" s="4">
        <v>40725</v>
      </c>
      <c r="E1" s="54" t="s">
        <v>466</v>
      </c>
    </row>
    <row r="2" spans="1:5" s="3" customFormat="1" ht="13.95" customHeight="1" x14ac:dyDescent="0.25">
      <c r="A2" s="17"/>
      <c r="B2" s="585" t="s">
        <v>410</v>
      </c>
      <c r="C2" s="586"/>
      <c r="D2" s="568" t="s">
        <v>411</v>
      </c>
      <c r="E2" s="17"/>
    </row>
    <row r="3" spans="1:5" s="3" customFormat="1" x14ac:dyDescent="0.25">
      <c r="A3" s="8"/>
      <c r="B3" s="586"/>
      <c r="C3" s="586"/>
      <c r="D3" s="568"/>
      <c r="E3" s="8"/>
    </row>
    <row r="4" spans="1:5" s="3" customFormat="1" ht="13.2" customHeight="1" x14ac:dyDescent="0.25">
      <c r="A4" s="26"/>
      <c r="B4" s="584" t="s">
        <v>104</v>
      </c>
      <c r="C4" s="588" t="s">
        <v>498</v>
      </c>
      <c r="D4" s="588"/>
      <c r="E4" s="26"/>
    </row>
    <row r="5" spans="1:5" s="3" customFormat="1" ht="13.2" customHeight="1" x14ac:dyDescent="0.25">
      <c r="A5" s="27"/>
      <c r="B5" s="584"/>
      <c r="C5" s="483" t="s">
        <v>288</v>
      </c>
      <c r="D5" s="483" t="s">
        <v>412</v>
      </c>
      <c r="E5" s="26"/>
    </row>
    <row r="6" spans="1:5" s="3" customFormat="1" x14ac:dyDescent="0.25">
      <c r="A6" s="110"/>
      <c r="B6" s="483">
        <v>0.3</v>
      </c>
      <c r="C6" s="505">
        <f>90627.36*1.05</f>
        <v>95158.728000000003</v>
      </c>
      <c r="D6" s="505">
        <f>115253.4*1.05</f>
        <v>121016.06999999999</v>
      </c>
      <c r="E6" s="23"/>
    </row>
    <row r="7" spans="1:5" s="3" customFormat="1" x14ac:dyDescent="0.25">
      <c r="A7" s="9"/>
      <c r="B7" s="483">
        <v>0.38</v>
      </c>
      <c r="C7" s="505">
        <f>79279.59*1.05</f>
        <v>83243.569499999998</v>
      </c>
      <c r="D7" s="505">
        <f>100644.55*1.05</f>
        <v>105676.77750000001</v>
      </c>
      <c r="E7" s="23"/>
    </row>
    <row r="8" spans="1:5" s="3" customFormat="1" x14ac:dyDescent="0.25">
      <c r="A8" s="23"/>
      <c r="B8" s="483">
        <v>0.5</v>
      </c>
      <c r="C8" s="505">
        <f>64911.22*1.05</f>
        <v>68156.781000000003</v>
      </c>
      <c r="D8" s="505">
        <f>82147.02*1.05</f>
        <v>86254.371000000014</v>
      </c>
      <c r="E8" s="23"/>
    </row>
    <row r="9" spans="1:5" s="3" customFormat="1" x14ac:dyDescent="0.25">
      <c r="A9" s="23"/>
      <c r="B9" s="483">
        <v>0.6</v>
      </c>
      <c r="C9" s="505">
        <f>59762.21*1.05</f>
        <v>62750.320500000002</v>
      </c>
      <c r="D9" s="505">
        <f>75518.26*1.05</f>
        <v>79294.172999999995</v>
      </c>
      <c r="E9" s="23"/>
    </row>
    <row r="10" spans="1:5" s="3" customFormat="1" x14ac:dyDescent="0.25">
      <c r="A10" s="23"/>
      <c r="B10" s="483">
        <v>0.65</v>
      </c>
      <c r="C10" s="505">
        <f>56399.8*1.05</f>
        <v>59219.790000000008</v>
      </c>
      <c r="D10" s="505">
        <f>71189.58*1.05</f>
        <v>74749.059000000008</v>
      </c>
      <c r="E10" s="23"/>
    </row>
    <row r="11" spans="1:5" s="3" customFormat="1" x14ac:dyDescent="0.25">
      <c r="A11" s="23"/>
      <c r="B11" s="483">
        <v>0.7</v>
      </c>
      <c r="C11" s="505">
        <f>54734.38*1.05</f>
        <v>57471.099000000002</v>
      </c>
      <c r="D11" s="505">
        <f>69045.55*1.05</f>
        <v>72497.827499999999</v>
      </c>
      <c r="E11" s="23"/>
    </row>
    <row r="12" spans="1:5" s="3" customFormat="1" x14ac:dyDescent="0.25">
      <c r="A12" s="23"/>
      <c r="B12" s="483">
        <v>0.75</v>
      </c>
      <c r="C12" s="505">
        <f>53284.69*1.05</f>
        <v>55948.924500000008</v>
      </c>
      <c r="D12" s="505">
        <f>67179.26*1.05</f>
        <v>70538.222999999998</v>
      </c>
      <c r="E12" s="23"/>
    </row>
    <row r="13" spans="1:5" s="3" customFormat="1" x14ac:dyDescent="0.25">
      <c r="A13" s="23"/>
      <c r="B13" s="483">
        <v>0.8</v>
      </c>
      <c r="C13" s="505">
        <f>51990.15*1.05</f>
        <v>54589.657500000001</v>
      </c>
      <c r="D13" s="505">
        <f>65512.69*1.05</f>
        <v>68788.324500000002</v>
      </c>
      <c r="E13" s="23"/>
    </row>
    <row r="14" spans="1:5" s="3" customFormat="1" x14ac:dyDescent="0.25">
      <c r="A14" s="23"/>
      <c r="B14" s="483">
        <v>0.85</v>
      </c>
      <c r="C14" s="505">
        <f>50848.33*1.05</f>
        <v>53390.746500000001</v>
      </c>
      <c r="D14" s="505">
        <f>64042.75*1.05</f>
        <v>67244.887499999997</v>
      </c>
      <c r="E14" s="23"/>
    </row>
    <row r="15" spans="1:5" s="3" customFormat="1" x14ac:dyDescent="0.25">
      <c r="A15" s="23"/>
      <c r="B15" s="483">
        <v>0.9</v>
      </c>
      <c r="C15" s="505">
        <f>49956.24*1.05</f>
        <v>52454.052000000003</v>
      </c>
      <c r="D15" s="505">
        <f>62894.27*1.05</f>
        <v>66038.983500000002</v>
      </c>
      <c r="E15" s="23"/>
    </row>
    <row r="16" spans="1:5" s="3" customFormat="1" x14ac:dyDescent="0.25">
      <c r="A16" s="23"/>
      <c r="B16" s="483">
        <v>0.95</v>
      </c>
      <c r="C16" s="505">
        <f>49090.78*1.05</f>
        <v>51545.319000000003</v>
      </c>
      <c r="D16" s="505">
        <f>61780.12*1.05</f>
        <v>64869.126000000004</v>
      </c>
      <c r="E16" s="23"/>
    </row>
    <row r="17" spans="1:5" s="3" customFormat="1" x14ac:dyDescent="0.25">
      <c r="A17" s="23"/>
      <c r="B17" s="483">
        <v>1</v>
      </c>
      <c r="C17" s="505">
        <f>47951.4*1.05</f>
        <v>50348.97</v>
      </c>
      <c r="D17" s="505">
        <f>60313.3*1.05</f>
        <v>63328.965000000004</v>
      </c>
      <c r="E17" s="23"/>
    </row>
    <row r="18" spans="1:5" s="3" customFormat="1" x14ac:dyDescent="0.25">
      <c r="A18" s="23"/>
      <c r="B18" s="483">
        <v>1.1000000000000001</v>
      </c>
      <c r="C18" s="505">
        <f>45452.04*1.05</f>
        <v>47724.642</v>
      </c>
      <c r="D18" s="505">
        <f>57095.66*1.05</f>
        <v>59950.443000000007</v>
      </c>
      <c r="E18" s="23"/>
    </row>
    <row r="19" spans="1:5" s="3" customFormat="1" x14ac:dyDescent="0.25">
      <c r="A19" s="23"/>
      <c r="B19" s="483">
        <v>1.2</v>
      </c>
      <c r="C19" s="505">
        <f>44312.64*1.05</f>
        <v>46528.272000000004</v>
      </c>
      <c r="D19" s="505">
        <f>55628.83*1.05</f>
        <v>58410.271500000003</v>
      </c>
      <c r="E19" s="23"/>
    </row>
    <row r="20" spans="1:5" s="3" customFormat="1" x14ac:dyDescent="0.25">
      <c r="A20" s="23"/>
      <c r="B20" s="483">
        <v>1.3</v>
      </c>
      <c r="C20" s="505">
        <f>43386.57*1.05</f>
        <v>45555.898500000003</v>
      </c>
      <c r="D20" s="505">
        <f>54436.62*1.05</f>
        <v>57158.451000000008</v>
      </c>
      <c r="E20" s="23"/>
    </row>
    <row r="21" spans="1:5" s="3" customFormat="1" x14ac:dyDescent="0.25">
      <c r="A21" s="23"/>
      <c r="B21" s="483">
        <v>1.4</v>
      </c>
      <c r="C21" s="505">
        <f>43100.7*1.05</f>
        <v>45255.735000000001</v>
      </c>
      <c r="D21" s="505">
        <f>54068.62*1.05</f>
        <v>56772.051000000007</v>
      </c>
      <c r="E21" s="23"/>
    </row>
    <row r="22" spans="1:5" s="3" customFormat="1" x14ac:dyDescent="0.25">
      <c r="A22" s="23"/>
      <c r="B22" s="483" t="s">
        <v>755</v>
      </c>
      <c r="C22" s="505">
        <f>42825.47*1.05</f>
        <v>44966.743500000004</v>
      </c>
      <c r="D22" s="505">
        <f>53714.29*1.05</f>
        <v>56400.004500000003</v>
      </c>
      <c r="E22" s="23"/>
    </row>
    <row r="23" spans="1:5" s="3" customFormat="1" x14ac:dyDescent="0.25">
      <c r="A23" s="23"/>
      <c r="B23" s="483" t="s">
        <v>756</v>
      </c>
      <c r="C23" s="505">
        <f>42579.52*1.05</f>
        <v>44708.495999999999</v>
      </c>
      <c r="D23" s="505">
        <f>53397.65*1.05</f>
        <v>56067.532500000001</v>
      </c>
      <c r="E23" s="23"/>
    </row>
    <row r="24" spans="1:5" s="3" customFormat="1" ht="30" customHeight="1" x14ac:dyDescent="0.25">
      <c r="A24" s="23"/>
      <c r="B24" s="570" t="s">
        <v>760</v>
      </c>
      <c r="C24" s="570"/>
      <c r="D24" s="570"/>
      <c r="E24" s="23"/>
    </row>
    <row r="25" spans="1:5" s="3" customFormat="1" x14ac:dyDescent="0.25">
      <c r="A25" s="23"/>
      <c r="B25" s="44"/>
      <c r="C25" s="23"/>
      <c r="D25" s="11"/>
      <c r="E25" s="23"/>
    </row>
    <row r="26" spans="1:5" s="3" customFormat="1" x14ac:dyDescent="0.25">
      <c r="A26" s="24"/>
      <c r="B26" s="62" t="s">
        <v>296</v>
      </c>
      <c r="C26" s="24"/>
      <c r="D26" s="24"/>
      <c r="E26" s="24"/>
    </row>
    <row r="27" spans="1:5" s="3" customFormat="1" x14ac:dyDescent="0.25">
      <c r="A27" s="24"/>
      <c r="B27" s="24" t="s">
        <v>757</v>
      </c>
      <c r="C27" s="24"/>
      <c r="D27" s="24"/>
      <c r="E27" s="24"/>
    </row>
    <row r="28" spans="1:5" s="3" customFormat="1" x14ac:dyDescent="0.25">
      <c r="A28" s="24"/>
      <c r="B28" s="24" t="s">
        <v>759</v>
      </c>
      <c r="C28" s="24"/>
      <c r="D28" s="24"/>
      <c r="E28" s="24"/>
    </row>
    <row r="29" spans="1:5" s="3" customFormat="1" ht="13.2" customHeight="1" x14ac:dyDescent="0.25">
      <c r="A29" s="484"/>
      <c r="B29" s="589" t="s">
        <v>758</v>
      </c>
      <c r="C29" s="589"/>
      <c r="D29" s="589"/>
      <c r="E29" s="484"/>
    </row>
    <row r="30" spans="1:5" s="3" customFormat="1" x14ac:dyDescent="0.25">
      <c r="A30" s="484"/>
      <c r="B30" s="589"/>
      <c r="C30" s="589"/>
      <c r="D30" s="589"/>
      <c r="E30" s="484"/>
    </row>
    <row r="31" spans="1:5" s="3" customFormat="1" x14ac:dyDescent="0.25">
      <c r="A31" s="24"/>
      <c r="B31" s="24"/>
      <c r="C31" s="24"/>
      <c r="D31" s="24"/>
      <c r="E31" s="24"/>
    </row>
    <row r="32" spans="1:5" s="3" customFormat="1" x14ac:dyDescent="0.25">
      <c r="A32" s="24"/>
      <c r="B32" s="483" t="s">
        <v>413</v>
      </c>
      <c r="C32" s="588" t="s">
        <v>287</v>
      </c>
      <c r="D32" s="588"/>
      <c r="E32" s="24"/>
    </row>
    <row r="33" spans="1:5" s="3" customFormat="1" x14ac:dyDescent="0.25">
      <c r="A33" s="24"/>
      <c r="B33" s="483" t="s">
        <v>115</v>
      </c>
      <c r="C33" s="588">
        <v>0.97</v>
      </c>
      <c r="D33" s="588"/>
      <c r="E33" s="24"/>
    </row>
    <row r="34" spans="1:5" s="3" customFormat="1" x14ac:dyDescent="0.25">
      <c r="A34" s="24"/>
      <c r="B34" s="483" t="s">
        <v>294</v>
      </c>
      <c r="C34" s="587">
        <v>1.2</v>
      </c>
      <c r="D34" s="587"/>
      <c r="E34" s="24"/>
    </row>
    <row r="35" spans="1:5" s="3" customFormat="1" x14ac:dyDescent="0.25">
      <c r="A35" s="23"/>
      <c r="B35" s="44"/>
      <c r="C35" s="23"/>
      <c r="D35" s="11"/>
      <c r="E35" s="23"/>
    </row>
    <row r="36" spans="1:5" s="3" customFormat="1" x14ac:dyDescent="0.25">
      <c r="A36" s="23"/>
      <c r="B36" s="46"/>
      <c r="C36" s="23"/>
      <c r="D36" s="11"/>
      <c r="E36" s="23"/>
    </row>
    <row r="37" spans="1:5" s="3" customFormat="1" x14ac:dyDescent="0.25">
      <c r="A37" s="23"/>
      <c r="B37" s="44"/>
      <c r="C37" s="23"/>
      <c r="D37" s="11"/>
      <c r="E37" s="23"/>
    </row>
    <row r="38" spans="1:5" s="3" customFormat="1" x14ac:dyDescent="0.25">
      <c r="A38" s="23"/>
      <c r="B38" s="44"/>
      <c r="C38" s="23"/>
      <c r="D38" s="11"/>
      <c r="E38" s="23"/>
    </row>
    <row r="48" spans="1:5" x14ac:dyDescent="0.25">
      <c r="B48" s="71"/>
      <c r="C48" s="30"/>
    </row>
  </sheetData>
  <mergeCells count="9">
    <mergeCell ref="B4:B5"/>
    <mergeCell ref="B2:C3"/>
    <mergeCell ref="C34:D34"/>
    <mergeCell ref="C32:D32"/>
    <mergeCell ref="C33:D33"/>
    <mergeCell ref="B29:D30"/>
    <mergeCell ref="B24:D24"/>
    <mergeCell ref="D2:D3"/>
    <mergeCell ref="C4:D4"/>
  </mergeCells>
  <phoneticPr fontId="0" type="noConversion"/>
  <hyperlinks>
    <hyperlink ref="E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G37"/>
  <sheetViews>
    <sheetView view="pageBreakPreview" zoomScale="85" zoomScaleNormal="75" zoomScaleSheetLayoutView="75" workbookViewId="0">
      <selection activeCell="F6" sqref="F6"/>
    </sheetView>
  </sheetViews>
  <sheetFormatPr defaultColWidth="8.88671875" defaultRowHeight="13.2" x14ac:dyDescent="0.25"/>
  <cols>
    <col min="1" max="1" width="7.6640625" style="75" customWidth="1"/>
    <col min="2" max="2" width="23" style="75" customWidth="1"/>
    <col min="3" max="3" width="14.44140625" style="75" bestFit="1" customWidth="1"/>
    <col min="4" max="4" width="9.6640625" style="75" customWidth="1"/>
    <col min="5" max="5" width="25" style="75" customWidth="1"/>
    <col min="6" max="6" width="11.6640625" style="75" customWidth="1"/>
    <col min="7" max="16384" width="8.88671875" style="75"/>
  </cols>
  <sheetData>
    <row r="1" spans="2:7" s="10" customFormat="1" x14ac:dyDescent="0.25">
      <c r="B1" s="6"/>
      <c r="C1" s="4">
        <v>41030</v>
      </c>
      <c r="E1" s="70"/>
      <c r="F1" s="4">
        <v>40725</v>
      </c>
      <c r="G1" s="54" t="s">
        <v>466</v>
      </c>
    </row>
    <row r="2" spans="2:7" s="10" customFormat="1" ht="42" customHeight="1" x14ac:dyDescent="0.25">
      <c r="B2" s="438" t="s">
        <v>587</v>
      </c>
      <c r="C2" s="463" t="s">
        <v>253</v>
      </c>
      <c r="E2" s="280" t="s">
        <v>452</v>
      </c>
      <c r="F2" s="268" t="s">
        <v>113</v>
      </c>
      <c r="G2" s="54"/>
    </row>
    <row r="3" spans="2:7" s="10" customFormat="1" ht="13.2" customHeight="1" x14ac:dyDescent="0.25">
      <c r="B3" s="439" t="s">
        <v>104</v>
      </c>
      <c r="C3" s="461" t="s">
        <v>498</v>
      </c>
      <c r="E3" s="483" t="s">
        <v>112</v>
      </c>
      <c r="F3" s="481" t="s">
        <v>276</v>
      </c>
      <c r="G3" s="54"/>
    </row>
    <row r="4" spans="2:7" s="10" customFormat="1" x14ac:dyDescent="0.25">
      <c r="B4" s="269">
        <v>1.5</v>
      </c>
      <c r="C4" s="261">
        <f>51892.48*1.05</f>
        <v>54487.104000000007</v>
      </c>
      <c r="E4" s="262">
        <v>0.5</v>
      </c>
      <c r="F4" s="275">
        <f>77831.61*1.05</f>
        <v>81723.190499999997</v>
      </c>
      <c r="G4" s="54"/>
    </row>
    <row r="5" spans="2:7" s="10" customFormat="1" x14ac:dyDescent="0.25">
      <c r="B5" s="269">
        <v>1.6</v>
      </c>
      <c r="C5" s="261">
        <f>51340.28*1.05</f>
        <v>53907.294000000002</v>
      </c>
      <c r="E5" s="262">
        <v>0.6</v>
      </c>
      <c r="F5" s="275">
        <f>61979.79*1.05</f>
        <v>65078.779500000004</v>
      </c>
      <c r="G5" s="54"/>
    </row>
    <row r="6" spans="2:7" s="10" customFormat="1" x14ac:dyDescent="0.25">
      <c r="B6" s="269">
        <v>1.7</v>
      </c>
      <c r="C6" s="261">
        <f>50446.21*1.05</f>
        <v>52968.520499999999</v>
      </c>
      <c r="E6" s="262">
        <v>1.6</v>
      </c>
      <c r="F6" s="275">
        <f>45260.31*1.05</f>
        <v>47523.325499999999</v>
      </c>
      <c r="G6" s="54"/>
    </row>
    <row r="7" spans="2:7" s="10" customFormat="1" x14ac:dyDescent="0.25">
      <c r="B7" s="269">
        <v>1.8</v>
      </c>
      <c r="C7" s="261">
        <f>49867.69*1.05</f>
        <v>52361.074500000002</v>
      </c>
      <c r="E7" s="262">
        <v>1.8</v>
      </c>
      <c r="F7" s="275">
        <f>43960.62*1.05</f>
        <v>46158.651000000005</v>
      </c>
      <c r="G7" s="54"/>
    </row>
    <row r="8" spans="2:7" s="10" customFormat="1" x14ac:dyDescent="0.25">
      <c r="B8" s="269">
        <v>1.9</v>
      </c>
      <c r="C8" s="261">
        <f>49762.52*1.05</f>
        <v>52250.646000000001</v>
      </c>
      <c r="E8" s="262">
        <v>2</v>
      </c>
      <c r="F8" s="275">
        <f>43139.79*1.05</f>
        <v>45296.779500000004</v>
      </c>
      <c r="G8" s="54"/>
    </row>
    <row r="9" spans="2:7" s="10" customFormat="1" x14ac:dyDescent="0.25">
      <c r="B9" s="269">
        <v>2</v>
      </c>
      <c r="C9" s="261">
        <f>49210.31*1.05</f>
        <v>51670.825499999999</v>
      </c>
      <c r="E9" s="262">
        <v>2.5</v>
      </c>
      <c r="F9" s="275">
        <f>40927.08*1.05</f>
        <v>42973.434000000001</v>
      </c>
      <c r="G9" s="54"/>
    </row>
    <row r="10" spans="2:7" s="10" customFormat="1" x14ac:dyDescent="0.25">
      <c r="B10" s="269">
        <v>2.1</v>
      </c>
      <c r="C10" s="261">
        <f>48736.98*1.05</f>
        <v>51173.829000000005</v>
      </c>
      <c r="E10" s="262">
        <v>3</v>
      </c>
      <c r="F10" s="275">
        <f>39807.47*1.05</f>
        <v>41797.843500000003</v>
      </c>
      <c r="G10" s="54"/>
    </row>
    <row r="11" spans="2:7" s="10" customFormat="1" x14ac:dyDescent="0.25">
      <c r="B11" s="269" t="s">
        <v>252</v>
      </c>
      <c r="C11" s="261">
        <f>48631.79*1.05</f>
        <v>51063.379500000003</v>
      </c>
      <c r="E11" s="262">
        <v>3.5</v>
      </c>
      <c r="F11" s="275">
        <f>38944.92*1.05</f>
        <v>40892.165999999997</v>
      </c>
      <c r="G11" s="54"/>
    </row>
    <row r="12" spans="2:7" s="10" customFormat="1" x14ac:dyDescent="0.25">
      <c r="B12" s="269" t="s">
        <v>251</v>
      </c>
      <c r="C12" s="261">
        <f>48080.46*1.05</f>
        <v>50484.483</v>
      </c>
      <c r="E12" s="262">
        <v>4</v>
      </c>
      <c r="F12" s="275">
        <f>38559.31*1.05</f>
        <v>40487.275499999996</v>
      </c>
      <c r="G12" s="54"/>
    </row>
    <row r="13" spans="2:7" s="10" customFormat="1" x14ac:dyDescent="0.25">
      <c r="B13" s="269">
        <v>2.5</v>
      </c>
      <c r="C13" s="261">
        <f>47737.74*1.05</f>
        <v>50124.627</v>
      </c>
      <c r="E13" s="482" t="s">
        <v>761</v>
      </c>
      <c r="F13" s="275">
        <f>38476*1.05</f>
        <v>40399.800000000003</v>
      </c>
      <c r="G13" s="54"/>
    </row>
    <row r="14" spans="2:7" s="10" customFormat="1" x14ac:dyDescent="0.25">
      <c r="B14" s="269" t="s">
        <v>250</v>
      </c>
      <c r="C14" s="261">
        <f>47395.89*1.05</f>
        <v>49765.684500000003</v>
      </c>
      <c r="E14" s="24"/>
      <c r="F14" s="24"/>
      <c r="G14" s="54"/>
    </row>
    <row r="15" spans="2:7" s="10" customFormat="1" x14ac:dyDescent="0.25">
      <c r="B15" s="269" t="s">
        <v>249</v>
      </c>
      <c r="C15" s="261">
        <f>47185.52*1.05</f>
        <v>49544.796000000002</v>
      </c>
      <c r="E15" s="590" t="s">
        <v>469</v>
      </c>
      <c r="F15" s="586"/>
      <c r="G15" s="54"/>
    </row>
    <row r="16" spans="2:7" s="10" customFormat="1" x14ac:dyDescent="0.25">
      <c r="B16" s="269" t="s">
        <v>176</v>
      </c>
      <c r="C16" s="261">
        <f>46738.48*1.05</f>
        <v>49075.404000000002</v>
      </c>
      <c r="E16" s="280" t="s">
        <v>300</v>
      </c>
      <c r="F16" s="263">
        <v>0.1</v>
      </c>
      <c r="G16" s="54"/>
    </row>
    <row r="17" spans="1:7" s="10" customFormat="1" x14ac:dyDescent="0.25">
      <c r="B17" s="269" t="s">
        <v>248</v>
      </c>
      <c r="C17" s="261">
        <f>46501.82*1.05</f>
        <v>48826.911</v>
      </c>
      <c r="E17" s="440" t="s">
        <v>496</v>
      </c>
      <c r="F17" s="441" t="s">
        <v>776</v>
      </c>
      <c r="G17" s="54"/>
    </row>
    <row r="18" spans="1:7" s="10" customFormat="1" x14ac:dyDescent="0.25">
      <c r="B18" s="269" t="s">
        <v>247</v>
      </c>
      <c r="C18" s="261">
        <f>46054.78*1.05</f>
        <v>48357.519</v>
      </c>
      <c r="E18" s="24"/>
      <c r="F18" s="24"/>
      <c r="G18" s="54"/>
    </row>
    <row r="19" spans="1:7" s="10" customFormat="1" x14ac:dyDescent="0.25">
      <c r="B19" s="269" t="s">
        <v>246</v>
      </c>
      <c r="C19" s="261">
        <f>45818.13*1.05</f>
        <v>48109.036500000002</v>
      </c>
      <c r="E19" s="24"/>
      <c r="F19" s="24"/>
      <c r="G19" s="54"/>
    </row>
    <row r="20" spans="1:7" s="10" customFormat="1" x14ac:dyDescent="0.25">
      <c r="B20" s="269" t="s">
        <v>111</v>
      </c>
      <c r="C20" s="261">
        <f>45712.94*1.05</f>
        <v>47998.587000000007</v>
      </c>
      <c r="E20" s="24"/>
      <c r="F20" s="24"/>
      <c r="G20" s="54"/>
    </row>
    <row r="21" spans="1:7" s="10" customFormat="1" x14ac:dyDescent="0.25">
      <c r="B21" s="269" t="s">
        <v>110</v>
      </c>
      <c r="C21" s="261">
        <f>45607.77*1.05</f>
        <v>47888.158499999998</v>
      </c>
      <c r="E21" s="24"/>
      <c r="F21" s="24"/>
      <c r="G21" s="54"/>
    </row>
    <row r="22" spans="1:7" s="10" customFormat="1" x14ac:dyDescent="0.25">
      <c r="B22" s="269" t="s">
        <v>108</v>
      </c>
      <c r="C22" s="261">
        <f>45265.91*1.05</f>
        <v>47529.205500000004</v>
      </c>
      <c r="E22" s="24"/>
      <c r="F22" s="24"/>
      <c r="G22" s="54"/>
    </row>
    <row r="23" spans="1:7" s="10" customFormat="1" x14ac:dyDescent="0.25">
      <c r="B23" s="269" t="s">
        <v>245</v>
      </c>
      <c r="C23" s="261">
        <f>44924.06*1.05</f>
        <v>47170.262999999999</v>
      </c>
      <c r="E23" s="24"/>
      <c r="F23" s="24"/>
      <c r="G23" s="54"/>
    </row>
    <row r="24" spans="1:7" s="10" customFormat="1" x14ac:dyDescent="0.25">
      <c r="B24" s="269" t="s">
        <v>244</v>
      </c>
      <c r="C24" s="261">
        <f>44713.69*1.05</f>
        <v>46949.374500000005</v>
      </c>
      <c r="E24" s="24"/>
      <c r="F24" s="24"/>
      <c r="G24" s="54"/>
    </row>
    <row r="25" spans="1:7" s="10" customFormat="1" x14ac:dyDescent="0.25">
      <c r="B25" s="269">
        <v>6</v>
      </c>
      <c r="C25" s="261">
        <f>44371.84*1.05</f>
        <v>46590.432000000001</v>
      </c>
      <c r="E25" s="24"/>
      <c r="F25" s="24"/>
      <c r="G25" s="54"/>
    </row>
    <row r="26" spans="1:7" s="10" customFormat="1" x14ac:dyDescent="0.25">
      <c r="E26" s="24"/>
      <c r="F26" s="24"/>
      <c r="G26" s="54"/>
    </row>
    <row r="27" spans="1:7" s="10" customFormat="1" x14ac:dyDescent="0.25">
      <c r="E27" s="24"/>
      <c r="F27" s="24"/>
      <c r="G27" s="54"/>
    </row>
    <row r="28" spans="1:7" s="10" customFormat="1" x14ac:dyDescent="0.25">
      <c r="E28" s="24"/>
      <c r="F28" s="24"/>
      <c r="G28" s="54"/>
    </row>
    <row r="29" spans="1:7" s="10" customFormat="1" x14ac:dyDescent="0.25">
      <c r="C29" s="4">
        <v>40878</v>
      </c>
      <c r="D29" s="25"/>
      <c r="E29" s="24"/>
      <c r="F29" s="24"/>
      <c r="G29" s="54"/>
    </row>
    <row r="30" spans="1:7" s="10" customFormat="1" ht="13.2" customHeight="1" x14ac:dyDescent="0.25">
      <c r="B30" s="565" t="s">
        <v>667</v>
      </c>
      <c r="C30" s="591" t="s">
        <v>167</v>
      </c>
      <c r="D30" s="170"/>
      <c r="E30" s="24"/>
      <c r="F30" s="24"/>
    </row>
    <row r="31" spans="1:7" s="10" customFormat="1" ht="15.6" customHeight="1" x14ac:dyDescent="0.25">
      <c r="B31" s="565"/>
      <c r="C31" s="591"/>
      <c r="D31" s="6"/>
      <c r="E31" s="24"/>
      <c r="F31" s="24"/>
    </row>
    <row r="32" spans="1:7" s="10" customFormat="1" x14ac:dyDescent="0.25">
      <c r="A32" s="32"/>
      <c r="B32" s="437" t="s">
        <v>104</v>
      </c>
      <c r="C32" s="462" t="s">
        <v>276</v>
      </c>
      <c r="E32" s="24"/>
      <c r="F32" s="24"/>
    </row>
    <row r="33" spans="1:6" s="10" customFormat="1" x14ac:dyDescent="0.25">
      <c r="A33" s="32"/>
      <c r="B33" s="246" t="s">
        <v>767</v>
      </c>
      <c r="C33" s="446">
        <f>29347+-500</f>
        <v>28847</v>
      </c>
      <c r="E33" s="103"/>
      <c r="F33" s="72"/>
    </row>
    <row r="34" spans="1:6" s="10" customFormat="1" x14ac:dyDescent="0.25">
      <c r="A34" s="32"/>
      <c r="B34" s="246">
        <v>3</v>
      </c>
      <c r="C34" s="446">
        <f>28274+-500</f>
        <v>27774</v>
      </c>
    </row>
    <row r="35" spans="1:6" s="10" customFormat="1" x14ac:dyDescent="0.25">
      <c r="A35" s="32"/>
      <c r="B35" s="246" t="s">
        <v>768</v>
      </c>
      <c r="C35" s="446">
        <f>27800+-500</f>
        <v>27300</v>
      </c>
    </row>
    <row r="36" spans="1:6" s="10" customFormat="1" x14ac:dyDescent="0.25">
      <c r="A36" s="32"/>
      <c r="B36" s="24"/>
      <c r="C36" s="24"/>
    </row>
    <row r="37" spans="1:6" s="10" customFormat="1" x14ac:dyDescent="0.25">
      <c r="A37" s="32"/>
      <c r="B37" s="24"/>
      <c r="C37" s="24"/>
    </row>
  </sheetData>
  <mergeCells count="3">
    <mergeCell ref="E15:F15"/>
    <mergeCell ref="B30:B31"/>
    <mergeCell ref="C30:C31"/>
  </mergeCells>
  <phoneticPr fontId="0" type="noConversion"/>
  <hyperlinks>
    <hyperlink ref="G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M_Key_word xmlns="619ed044-c676-4d2a-9f3c-0a9a1bd0ed8a" xsi:nil="true"/>
    <SM_Status_doc xmlns="619ed044-c676-4d2a-9f3c-0a9a1bd0ed8a">активный</SM_Status_doc>
    <SM_Responsible_subdivision xmlns="619ed044-c676-4d2a-9f3c-0a9a1bd0ed8a" xsi:nil="true"/>
    <SM_Editors xmlns="619ed044-c676-4d2a-9f3c-0a9a1bd0ed8a">
      <UserInfo>
        <DisplayName>CHSPZ\chvv1208</DisplayName>
        <AccountId>403</AccountId>
        <AccountType/>
      </UserInfo>
      <UserInfo>
        <DisplayName>CHSPZ\kda0504</DisplayName>
        <AccountId>290</AccountId>
        <AccountType/>
      </UserInfo>
    </SM_Editors>
    <SM_State_doc xmlns="619ed044-c676-4d2a-9f3c-0a9a1bd0ed8a">утвержден</SM_State_doc>
    <SM_Class_doc xmlns="619ed044-c676-4d2a-9f3c-0a9a1bd0ed8a" xsi:nil="true"/>
    <SM_Grif xmlns="619ed044-c676-4d2a-9f3c-0a9a1bd0ed8a">...</SM_Grif>
    <SM_Direction_business xmlns="619ed044-c676-4d2a-9f3c-0a9a1bd0ed8a">
      <Value>Маркетинг и продажи</Value>
    </SM_Direction_business>
    <SM_Readers xmlns="619ed044-c676-4d2a-9f3c-0a9a1bd0ed8a">
      <UserInfo>
        <DisplayName/>
        <AccountId xsi:nil="true"/>
        <AccountType/>
      </UserInfo>
    </SM_Readers>
    <SM_Comment xmlns="619ed044-c676-4d2a-9f3c-0a9a1bd0ed8a" xsi:nil="true"/>
    <SM_Language xmlns="619ed044-c676-4d2a-9f3c-0a9a1bd0ed8a">русский</SM_Language>
    <SM_Recipient xmlns="619ed044-c676-4d2a-9f3c-0a9a1bd0ed8a">Специалисты по продажам</SM_Recipient>
    <SM_Periodicity xmlns="619ed044-c676-4d2a-9f3c-0a9a1bd0ed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СМ Отчет" ma:contentTypeID="0x0101004E6D8CCB0EF6C44CB256F80FEB7416A41400CDE110DC9E22F44FA76A0A7A629BD6D1" ma:contentTypeVersion="0" ma:contentTypeDescription="Создание документа." ma:contentTypeScope="" ma:versionID="0e25c07ded867e3ac141df0123193f31">
  <xsd:schema xmlns:xsd="http://www.w3.org/2001/XMLSchema" xmlns:xs="http://www.w3.org/2001/XMLSchema" xmlns:p="http://schemas.microsoft.com/office/2006/metadata/properties" xmlns:ns2="619ed044-c676-4d2a-9f3c-0a9a1bd0ed8a" targetNamespace="http://schemas.microsoft.com/office/2006/metadata/properties" ma:root="true" ma:fieldsID="6df55c33a1b4dead6ba507dc23c8c085" ns2:_="">
    <xsd:import namespace="619ed044-c676-4d2a-9f3c-0a9a1bd0ed8a"/>
    <xsd:element name="properties">
      <xsd:complexType>
        <xsd:sequence>
          <xsd:element name="documentManagement">
            <xsd:complexType>
              <xsd:all>
                <xsd:element ref="ns2:SM_Status_doc"/>
                <xsd:element ref="ns2:SM_State_doc"/>
                <xsd:element ref="ns2:SM_Grif"/>
                <xsd:element ref="ns2:SM_Class_doc" minOccurs="0"/>
                <xsd:element ref="ns2:SM_Key_word" minOccurs="0"/>
                <xsd:element ref="ns2:SM_Comment" minOccurs="0"/>
                <xsd:element ref="ns2:SM_Language" minOccurs="0"/>
                <xsd:element ref="ns2:SM_Responsible_subdivision" minOccurs="0"/>
                <xsd:element ref="ns2:SM_Direction_business" minOccurs="0"/>
                <xsd:element ref="ns2:SM_Readers" minOccurs="0"/>
                <xsd:element ref="ns2:SM_Editors" minOccurs="0"/>
                <xsd:element ref="ns2:SM_Recipient"/>
                <xsd:element ref="ns2:SM_Periodic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ed044-c676-4d2a-9f3c-0a9a1bd0ed8a" elementFormDefault="qualified">
    <xsd:import namespace="http://schemas.microsoft.com/office/2006/documentManagement/types"/>
    <xsd:import namespace="http://schemas.microsoft.com/office/infopath/2007/PartnerControls"/>
    <xsd:element name="SM_Status_doc" ma:index="8" ma:displayName="Статус документа" ma:description="" ma:internalName="SM_Status_doc" ma:readOnly="false">
      <xsd:simpleType>
        <xsd:restriction base="dms:Choice">
          <xsd:enumeration value="активный"/>
          <xsd:enumeration value="архивный"/>
          <xsd:enumeration value="пассивный"/>
          <xsd:enumeration value="удаленный"/>
        </xsd:restriction>
      </xsd:simpleType>
    </xsd:element>
    <xsd:element name="SM_State_doc" ma:index="9" ma:displayName="Состояние документа" ma:description="" ma:internalName="SM_State_doc" ma:readOnly="false">
      <xsd:simpleType>
        <xsd:restriction base="dms:Choice">
          <xsd:enumeration value="отменен"/>
          <xsd:enumeration value="проект"/>
          <xsd:enumeration value="согласован"/>
          <xsd:enumeration value="требует актуализации"/>
          <xsd:enumeration value="утвержден"/>
        </xsd:restriction>
      </xsd:simpleType>
    </xsd:element>
    <xsd:element name="SM_Grif" ma:index="10" ma:displayName="Гриф" ma:description="" ma:internalName="SM_Grif" ma:readOnly="false">
      <xsd:simpleType>
        <xsd:restriction base="dms:Choice">
          <xsd:enumeration value="..."/>
          <xsd:enumeration value="Коммерческая тайна"/>
        </xsd:restriction>
      </xsd:simpleType>
    </xsd:element>
    <xsd:element name="SM_Class_doc" ma:index="11" nillable="true" ma:displayName="Класс документа" ma:description="" ma:internalName="SM_Class_doc">
      <xsd:simpleType>
        <xsd:restriction base="dms:Choice">
          <xsd:enumeration value="внешний"/>
          <xsd:enumeration value="внутренний"/>
        </xsd:restriction>
      </xsd:simpleType>
    </xsd:element>
    <xsd:element name="SM_Key_word" ma:index="12" nillable="true" ma:displayName="Ключевые слова" ma:description="" ma:internalName="SM_Key_word">
      <xsd:simpleType>
        <xsd:restriction base="dms:Note">
          <xsd:maxLength value="255"/>
        </xsd:restriction>
      </xsd:simpleType>
    </xsd:element>
    <xsd:element name="SM_Comment" ma:index="13" nillable="true" ma:displayName="Комментарий" ma:description="" ma:internalName="SM_Comment">
      <xsd:simpleType>
        <xsd:restriction base="dms:Note">
          <xsd:maxLength value="255"/>
        </xsd:restriction>
      </xsd:simpleType>
    </xsd:element>
    <xsd:element name="SM_Language" ma:index="14" nillable="true" ma:displayName="Язык документа" ma:default="русский" ma:description="" ma:internalName="SM_Language">
      <xsd:simpleType>
        <xsd:restriction base="dms:Choice">
          <xsd:enumeration value="английский"/>
          <xsd:enumeration value="немецкий"/>
          <xsd:enumeration value="русский"/>
        </xsd:restriction>
      </xsd:simpleType>
    </xsd:element>
    <xsd:element name="SM_Responsible_subdivision" ma:index="15" nillable="true" ma:displayName="Ответственное подразделение" ma:description="" ma:internalName="SM_Responsible_subdivision">
      <xsd:simpleType>
        <xsd:restriction base="dms:Text"/>
      </xsd:simpleType>
    </xsd:element>
    <xsd:element name="SM_Direction_business" ma:index="16" nillable="true" ma:displayName="Направление бизнеса" ma:description="" ma:internalName="SM_Direction_business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Маркетинг и продажи"/>
                    <xsd:enumeration value="Метрологическое обеспечение производства"/>
                    <xsd:enumeration value="Нормирование"/>
                    <xsd:enumeration value="Обеспечение безопасности"/>
                    <xsd:enumeration value="Обеспечение сырьем и материалами, услугами"/>
                    <xsd:enumeration value="Охрана окружающей среды"/>
                    <xsd:enumeration value="Охрана труда и промышленной безопасности"/>
                    <xsd:enumeration value="Планирование поставок и производства"/>
                    <xsd:enumeration value="Поставка продукции"/>
                    <xsd:enumeration value="Предоставление отчетности в сторонние организации"/>
                    <xsd:enumeration value="Производство продукции"/>
                    <xsd:enumeration value="Стратегическое управление"/>
                    <xsd:enumeration value="Техническое развитие/Техническое обеспечение"/>
                    <xsd:enumeration value="Управление информационными ресурсами"/>
                    <xsd:enumeration value="Управление персоналом и социальная поддержка"/>
                    <xsd:enumeration value="Управление связями с общественностью"/>
                    <xsd:enumeration value="Управление системой менеджмента качества"/>
                    <xsd:enumeration value="Управление собственностью"/>
                    <xsd:enumeration value="Управление финансами"/>
                    <xsd:enumeration value="Юридическое обеспечение деятельности"/>
                  </xsd:restriction>
                </xsd:simpleType>
              </xsd:element>
            </xsd:sequence>
          </xsd:extension>
        </xsd:complexContent>
      </xsd:complexType>
    </xsd:element>
    <xsd:element name="SM_Readers" ma:index="17" nillable="true" ma:displayName="Читатели" ma:description="Читатели документа" ma:list="UserInfo" ma:SearchPeopleOnly="false" ma:SharePointGroup="0" ma:internalName="SM_Read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_Editors" ma:index="18" nillable="true" ma:displayName="Редакторы" ma:description="Редакторы документа" ma:list="UserInfo" ma:SearchPeopleOnly="false" ma:SharePointGroup="0" ma:internalName="SM_Edit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_Recipient" ma:index="19" ma:displayName="Получатель" ma:description="" ma:internalName="SM_Recipient" ma:readOnly="false">
      <xsd:simpleType>
        <xsd:restriction base="dms:Text"/>
      </xsd:simpleType>
    </xsd:element>
    <xsd:element name="SM_Periodicity" ma:index="20" nillable="true" ma:displayName="Периодичность пересмотра" ma:description="" ma:internalName="SM_Periodicit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634A44-6070-4494-8C9F-51794B52C8E0}">
  <ds:schemaRefs>
    <ds:schemaRef ds:uri="http://purl.org/dc/dcmitype/"/>
    <ds:schemaRef ds:uri="619ed044-c676-4d2a-9f3c-0a9a1bd0ed8a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2F64B6-5433-4F98-B4EB-379679242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ed044-c676-4d2a-9f3c-0a9a1bd0e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B4ECB4-256C-4782-B537-DC7192E40B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36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'31'!Заголовки_для_печати</vt:lpstr>
      <vt:lpstr>канаты!Заголовки_для_печати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канаты!Область_печати</vt:lpstr>
    </vt:vector>
  </TitlesOfParts>
  <Company>Северсталь-метиз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Завитаева Татьяна Анатольевна</cp:lastModifiedBy>
  <cp:lastPrinted>2012-08-27T05:48:02Z</cp:lastPrinted>
  <dcterms:created xsi:type="dcterms:W3CDTF">2002-06-30T07:00:29Z</dcterms:created>
  <dcterms:modified xsi:type="dcterms:W3CDTF">2012-08-30T11:20:39Z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0x0101004E6D8CCB0EF6C44CB256F80FEB7416A41400CDE110DC9E22F44FA76A0A7A629BD6D1</vt:lpwstr>
  </property>
  <property fmtid="{D5CDD505-2E9C-101B-9397-08002B2CF9AE}" pid="3" name="SM_Recipient">
    <vt:lpwstr>Специалисты по продажам</vt:lpwstr>
  </property>
</Properties>
</file>